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0341266\Desktop\"/>
    </mc:Choice>
  </mc:AlternateContent>
  <xr:revisionPtr revIDLastSave="0" documentId="8_{C7F33C30-DB52-4FFE-BB2A-48B7F310D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kostentarife ab 01.03.2025" sheetId="1" r:id="rId1"/>
    <sheet name="Legende Tarifcodes" sheetId="2" r:id="rId2"/>
  </sheets>
  <externalReferences>
    <externalReference r:id="rId3"/>
    <externalReference r:id="rId4"/>
  </externalReferences>
  <definedNames>
    <definedName name="___mds_allowwriteback___">""</definedName>
    <definedName name="___mds_description___">""</definedName>
    <definedName name="_xlnm.Print_Area" localSheetId="0">'Normkostentarife ab 01.03.2025'!$A$1:$P$123</definedName>
    <definedName name="Steigerungsfaktor_PK_Eli">'[1]301Budget-WJ2014'!$T$2</definedName>
    <definedName name="Steigerungsfaktor_PK_slw_IBK">'[1]401BUDGET-WJ2014'!$T$2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L118" i="1"/>
  <c r="K118" i="1"/>
  <c r="K120" i="1" s="1"/>
  <c r="J118" i="1"/>
  <c r="J120" i="1" s="1"/>
  <c r="I118" i="1"/>
  <c r="H118" i="1"/>
  <c r="G118" i="1"/>
  <c r="F118" i="1"/>
  <c r="F120" i="1" s="1"/>
  <c r="E118" i="1"/>
  <c r="E120" i="1" s="1"/>
  <c r="D118" i="1"/>
  <c r="D120" i="1" s="1"/>
  <c r="C118" i="1"/>
  <c r="C121" i="1" s="1"/>
  <c r="B118" i="1"/>
  <c r="A118" i="1"/>
  <c r="P111" i="1"/>
  <c r="O111" i="1"/>
  <c r="N111" i="1"/>
  <c r="L111" i="1"/>
  <c r="K111" i="1"/>
  <c r="J111" i="1"/>
  <c r="I111" i="1"/>
  <c r="F111" i="1"/>
  <c r="E111" i="1"/>
  <c r="D111" i="1"/>
  <c r="C111" i="1"/>
  <c r="B111" i="1"/>
  <c r="A111" i="1"/>
  <c r="P110" i="1"/>
  <c r="O110" i="1"/>
  <c r="M110" i="1"/>
  <c r="M112" i="1" s="1"/>
  <c r="L110" i="1"/>
  <c r="L112" i="1" s="1"/>
  <c r="K110" i="1"/>
  <c r="J110" i="1"/>
  <c r="I110" i="1"/>
  <c r="H110" i="1"/>
  <c r="G110" i="1"/>
  <c r="F110" i="1"/>
  <c r="E110" i="1"/>
  <c r="D110" i="1"/>
  <c r="C110" i="1"/>
  <c r="B110" i="1"/>
  <c r="B112" i="1" s="1"/>
  <c r="A110" i="1"/>
  <c r="D99" i="1"/>
  <c r="D101" i="1" s="1"/>
  <c r="C99" i="1"/>
  <c r="B99" i="1"/>
  <c r="B101" i="1" s="1"/>
  <c r="A99" i="1"/>
  <c r="A102" i="1" s="1"/>
  <c r="I88" i="1"/>
  <c r="H88" i="1"/>
  <c r="H90" i="1" s="1"/>
  <c r="G88" i="1"/>
  <c r="F88" i="1"/>
  <c r="E88" i="1"/>
  <c r="E90" i="1" s="1"/>
  <c r="D88" i="1"/>
  <c r="D90" i="1" s="1"/>
  <c r="C88" i="1"/>
  <c r="C90" i="1" s="1"/>
  <c r="B88" i="1"/>
  <c r="B91" i="1" s="1"/>
  <c r="A88" i="1"/>
  <c r="A82" i="1"/>
  <c r="A81" i="1"/>
  <c r="I70" i="1"/>
  <c r="H70" i="1"/>
  <c r="H72" i="1" s="1"/>
  <c r="G70" i="1"/>
  <c r="F70" i="1"/>
  <c r="E70" i="1"/>
  <c r="E72" i="1" s="1"/>
  <c r="D70" i="1"/>
  <c r="D72" i="1" s="1"/>
  <c r="C70" i="1"/>
  <c r="C72" i="1" s="1"/>
  <c r="B70" i="1"/>
  <c r="B73" i="1" s="1"/>
  <c r="A70" i="1"/>
  <c r="C64" i="1"/>
  <c r="B64" i="1"/>
  <c r="A64" i="1"/>
  <c r="C63" i="1"/>
  <c r="C65" i="1" s="1"/>
  <c r="B63" i="1"/>
  <c r="A63" i="1"/>
  <c r="I52" i="1"/>
  <c r="H52" i="1"/>
  <c r="H54" i="1" s="1"/>
  <c r="G52" i="1"/>
  <c r="F52" i="1"/>
  <c r="E52" i="1"/>
  <c r="E54" i="1" s="1"/>
  <c r="D52" i="1"/>
  <c r="D54" i="1" s="1"/>
  <c r="C52" i="1"/>
  <c r="C54" i="1" s="1"/>
  <c r="B52" i="1"/>
  <c r="B55" i="1" s="1"/>
  <c r="A52" i="1"/>
  <c r="D45" i="1"/>
  <c r="C45" i="1"/>
  <c r="B45" i="1"/>
  <c r="A45" i="1"/>
  <c r="D44" i="1"/>
  <c r="C44" i="1"/>
  <c r="C47" i="1" s="1"/>
  <c r="B44" i="1"/>
  <c r="A44" i="1"/>
  <c r="J33" i="1"/>
  <c r="I33" i="1"/>
  <c r="H33" i="1"/>
  <c r="H35" i="1" s="1"/>
  <c r="G33" i="1"/>
  <c r="F33" i="1"/>
  <c r="E33" i="1"/>
  <c r="E35" i="1" s="1"/>
  <c r="D33" i="1"/>
  <c r="D35" i="1" s="1"/>
  <c r="C33" i="1"/>
  <c r="C35" i="1" s="1"/>
  <c r="B33" i="1"/>
  <c r="B36" i="1" s="1"/>
  <c r="A33" i="1"/>
  <c r="E26" i="1"/>
  <c r="D26" i="1"/>
  <c r="C26" i="1"/>
  <c r="B26" i="1"/>
  <c r="A26" i="1"/>
  <c r="E25" i="1"/>
  <c r="E27" i="1" s="1"/>
  <c r="D25" i="1"/>
  <c r="D28" i="1" s="1"/>
  <c r="C25" i="1"/>
  <c r="C27" i="1" s="1"/>
  <c r="B25" i="1"/>
  <c r="A25" i="1"/>
  <c r="M14" i="1"/>
  <c r="L14" i="1"/>
  <c r="K14" i="1"/>
  <c r="K16" i="1" s="1"/>
  <c r="J14" i="1"/>
  <c r="J16" i="1" s="1"/>
  <c r="I14" i="1"/>
  <c r="H14" i="1"/>
  <c r="G14" i="1"/>
  <c r="F14" i="1"/>
  <c r="F16" i="1" s="1"/>
  <c r="E14" i="1"/>
  <c r="E16" i="1" s="1"/>
  <c r="D14" i="1"/>
  <c r="D16" i="1" s="1"/>
  <c r="C14" i="1"/>
  <c r="C17" i="1" s="1"/>
  <c r="B14" i="1"/>
  <c r="B15" i="1" s="1"/>
  <c r="A14" i="1"/>
  <c r="P8" i="1"/>
  <c r="O8" i="1"/>
  <c r="N8" i="1"/>
  <c r="L8" i="1"/>
  <c r="K8" i="1"/>
  <c r="J8" i="1"/>
  <c r="I8" i="1"/>
  <c r="F8" i="1"/>
  <c r="E8" i="1"/>
  <c r="D8" i="1"/>
  <c r="C8" i="1"/>
  <c r="B8" i="1"/>
  <c r="A8" i="1"/>
  <c r="P7" i="1"/>
  <c r="O7" i="1"/>
  <c r="O9" i="1" s="1"/>
  <c r="M7" i="1"/>
  <c r="M9" i="1" s="1"/>
  <c r="L7" i="1"/>
  <c r="K7" i="1"/>
  <c r="K9" i="1" s="1"/>
  <c r="J7" i="1"/>
  <c r="J10" i="1" s="1"/>
  <c r="I7" i="1"/>
  <c r="H7" i="1"/>
  <c r="G7" i="1"/>
  <c r="F7" i="1"/>
  <c r="E7" i="1"/>
  <c r="D7" i="1"/>
  <c r="C7" i="1"/>
  <c r="B7" i="1"/>
  <c r="A7" i="1"/>
  <c r="B65" i="1" l="1"/>
  <c r="A83" i="1"/>
  <c r="A9" i="1"/>
  <c r="A112" i="1"/>
  <c r="P9" i="1"/>
  <c r="P112" i="1"/>
  <c r="I9" i="1"/>
  <c r="A46" i="1"/>
  <c r="C9" i="1"/>
  <c r="D9" i="1"/>
  <c r="D46" i="1"/>
  <c r="B9" i="1"/>
  <c r="O112" i="1"/>
  <c r="E9" i="1"/>
  <c r="A27" i="1"/>
  <c r="C112" i="1"/>
  <c r="B27" i="1"/>
  <c r="A65" i="1"/>
  <c r="B46" i="1"/>
  <c r="I112" i="1"/>
  <c r="L9" i="1"/>
  <c r="J112" i="1"/>
  <c r="K112" i="1"/>
  <c r="F9" i="1"/>
  <c r="D112" i="1"/>
  <c r="E112" i="1"/>
  <c r="F112" i="1"/>
  <c r="J9" i="1"/>
  <c r="D27" i="1"/>
  <c r="J113" i="1"/>
  <c r="C46" i="1"/>
</calcChain>
</file>

<file path=xl/sharedStrings.xml><?xml version="1.0" encoding="utf-8"?>
<sst xmlns="http://schemas.openxmlformats.org/spreadsheetml/2006/main" count="253" uniqueCount="117">
  <si>
    <t>TARIF bei 100%:</t>
  </si>
  <si>
    <t>Für mobile Leistungen etc. (inkl. Wegzeiten - extra ausgewiesen):</t>
  </si>
  <si>
    <t>Angest.</t>
  </si>
  <si>
    <t>freie DN</t>
  </si>
  <si>
    <t>BMB:</t>
  </si>
  <si>
    <t>PN:</t>
  </si>
  <si>
    <t>BB:</t>
  </si>
  <si>
    <t>BFE:</t>
  </si>
  <si>
    <t>BBG:</t>
  </si>
  <si>
    <t>BSG:</t>
  </si>
  <si>
    <t>BEF:</t>
  </si>
  <si>
    <t>BGF:</t>
  </si>
  <si>
    <t>BHF:</t>
  </si>
  <si>
    <t>BKFF:</t>
  </si>
  <si>
    <t>BKJF:</t>
  </si>
  <si>
    <t>BSHU:</t>
  </si>
  <si>
    <t>BKEK:</t>
  </si>
  <si>
    <t>BIA/PIA:</t>
  </si>
  <si>
    <t>BBA:</t>
  </si>
  <si>
    <t>Für Tagesstruktur und Wohnen:</t>
  </si>
  <si>
    <t>Blindenv.</t>
  </si>
  <si>
    <t>PWGJ:</t>
  </si>
  <si>
    <t>BABV:</t>
  </si>
  <si>
    <t>BATH:</t>
  </si>
  <si>
    <t>BSE/BLE:</t>
  </si>
  <si>
    <t>BSI/BLI:</t>
  </si>
  <si>
    <t>BTW:</t>
  </si>
  <si>
    <t>PABI:</t>
  </si>
  <si>
    <t>BWG:</t>
  </si>
  <si>
    <t>PWG:</t>
  </si>
  <si>
    <t>PWGG:</t>
  </si>
  <si>
    <t>BWH:</t>
  </si>
  <si>
    <t>BVW:</t>
  </si>
  <si>
    <t>PATH:</t>
  </si>
  <si>
    <t>BATI:</t>
  </si>
  <si>
    <t>BSEI/BLEI:</t>
  </si>
  <si>
    <t>BSII/BLII:</t>
  </si>
  <si>
    <t>BTWI:</t>
  </si>
  <si>
    <t>PWGI:</t>
  </si>
  <si>
    <t>BWHI:</t>
  </si>
  <si>
    <t>TARIF bei 95%:</t>
  </si>
  <si>
    <t>TARIF bei 90%:</t>
  </si>
  <si>
    <t>TARIF bei 85%:</t>
  </si>
  <si>
    <t>TARIF bei 80%:</t>
  </si>
  <si>
    <t>TARIF bei 75%:</t>
  </si>
  <si>
    <t>TARIF bei min%:</t>
  </si>
  <si>
    <t>BSVT</t>
  </si>
  <si>
    <t>Tarife ab 01.03.2025</t>
  </si>
  <si>
    <t>Legende Tarifcodes</t>
  </si>
  <si>
    <t>Mobile Unterstützungsleistungen:</t>
  </si>
  <si>
    <t>Code:</t>
  </si>
  <si>
    <t>Persönliche Assistenz</t>
  </si>
  <si>
    <t>BB</t>
  </si>
  <si>
    <t>Familienunterstützung für Kinder und Jugendliche</t>
  </si>
  <si>
    <t>BFE</t>
  </si>
  <si>
    <t>Mobile Begleitung</t>
  </si>
  <si>
    <t>BMB</t>
  </si>
  <si>
    <t>Sozialpsychiatrische Einzelbegleitung/Case-Management</t>
  </si>
  <si>
    <t>PN</t>
  </si>
  <si>
    <t>Leistungen der Kommunikation und Orientierung:</t>
  </si>
  <si>
    <t>Unterstützte Kommunikation</t>
  </si>
  <si>
    <t>BSG</t>
  </si>
  <si>
    <t>Begleitung von Menschen mit Sehbehinderungen oder Blindheit</t>
  </si>
  <si>
    <t>BBG</t>
  </si>
  <si>
    <t>Pädagogische Förderung:</t>
  </si>
  <si>
    <t>Einzelförderung für Menschen mit</t>
  </si>
  <si>
    <t>BEF</t>
  </si>
  <si>
    <t>Autismus-Spektrum-Störungen</t>
  </si>
  <si>
    <t>Gruppenförderung für Menschen mit</t>
  </si>
  <si>
    <t>BGF</t>
  </si>
  <si>
    <t>Förderung im häuslichen Umfeld</t>
  </si>
  <si>
    <t>BHF</t>
  </si>
  <si>
    <t>Mobile Frühförderung</t>
  </si>
  <si>
    <t>BKFF</t>
  </si>
  <si>
    <t>Mobile Förderung für Kinder und Jugendliche</t>
  </si>
  <si>
    <t>BKJF</t>
  </si>
  <si>
    <t>ab dem 6. Lebensjahr</t>
  </si>
  <si>
    <t>Hausunterricht für schulpflichtige Kinder und Jugendliche</t>
  </si>
  <si>
    <t>BSHU</t>
  </si>
  <si>
    <t>Eltern-Kind-Gruppe</t>
  </si>
  <si>
    <t>BKEK/BKEL</t>
  </si>
  <si>
    <t>Tagesstruktur-Wohnen für Kinder und Jugendliche:</t>
  </si>
  <si>
    <t>Tagesbetreuung für Kinder und Jugendliche</t>
  </si>
  <si>
    <t>BSE/I &amp; BLE/I</t>
  </si>
  <si>
    <t>Internat</t>
  </si>
  <si>
    <t>BSI/I &amp; BLI/I</t>
  </si>
  <si>
    <t>Vollzeitbegleitetes Wohnen für Kinder und Jugendliche</t>
  </si>
  <si>
    <t>PWGJ</t>
  </si>
  <si>
    <t>inklusive Tagesstruktur-Sozialpsychiatrie</t>
  </si>
  <si>
    <t>Arbeit-Tagesstruktur:</t>
  </si>
  <si>
    <t>Berufsvorbereitung</t>
  </si>
  <si>
    <t>BABV</t>
  </si>
  <si>
    <t>Tagesstruktur</t>
  </si>
  <si>
    <t>BATH/BATI</t>
  </si>
  <si>
    <t>Tagesstruktur-Sozialpsychiatrie</t>
  </si>
  <si>
    <t>PABI</t>
  </si>
  <si>
    <t>PATH</t>
  </si>
  <si>
    <t>Tagesstruktur in Wohnhäusern</t>
  </si>
  <si>
    <t>BTW/I</t>
  </si>
  <si>
    <t>Inklusive Arbeit</t>
  </si>
  <si>
    <t>BIA/PIA</t>
  </si>
  <si>
    <t>Persönliche Assistenz am Arbeitsplatz</t>
  </si>
  <si>
    <t>BBA</t>
  </si>
  <si>
    <t>Wohnen:</t>
  </si>
  <si>
    <t>Wohnen exklusive Berufsvorbereitung</t>
  </si>
  <si>
    <t>BVW</t>
  </si>
  <si>
    <t>Begleitetes Wohnen in einer Wohngemeinschaft</t>
  </si>
  <si>
    <t>BWG</t>
  </si>
  <si>
    <t>Wohnen exklusive Tagesstruktur</t>
  </si>
  <si>
    <t>BWH/I</t>
  </si>
  <si>
    <t>Begleitetes Wohnen exklusive Tagesstruktur-Sozialpsychiatrie</t>
  </si>
  <si>
    <t>PWG</t>
  </si>
  <si>
    <t>Begleitetes Wohnen inklusive Tagesstruktur-Sozialpsychiatrie</t>
  </si>
  <si>
    <t>PWGG/PWGI</t>
  </si>
  <si>
    <r>
      <t>Anmerkung:</t>
    </r>
    <r>
      <rPr>
        <sz val="12"/>
        <color rgb="FF000000"/>
        <rFont val="Arial"/>
        <family val="2"/>
      </rPr>
      <t xml:space="preserve"> </t>
    </r>
  </si>
  <si>
    <t>Der Zusatz „/I“ steht für den Intensivsatz, wenn dieser nicht separat in der Klammer erwähnt wurde.</t>
  </si>
  <si>
    <t>inkl. 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</si>
</sst>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"/>
    <numFmt numFmtId="165" formatCode="&quot;€&quot;\ #,##0.00"/>
    <numFmt numFmtId="166" formatCode="0.0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2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8CAF2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FFCC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14" fontId="3" fillId="0" borderId="0" xfId="1" applyNumberFormat="1" applyFont="1"/>
    <xf numFmtId="0" fontId="1" fillId="0" borderId="0" xfId="1" applyFill="1" applyBorder="1"/>
    <xf numFmtId="0" fontId="4" fillId="0" borderId="0" xfId="1" applyFont="1" applyFill="1"/>
    <xf numFmtId="0" fontId="2" fillId="0" borderId="0" xfId="1" applyFont="1" applyFill="1"/>
    <xf numFmtId="10" fontId="6" fillId="3" borderId="1" xfId="2" applyNumberFormat="1" applyFont="1" applyFill="1" applyBorder="1"/>
    <xf numFmtId="10" fontId="6" fillId="3" borderId="2" xfId="2" applyNumberFormat="1" applyFont="1" applyFill="1" applyBorder="1"/>
    <xf numFmtId="10" fontId="6" fillId="3" borderId="3" xfId="2" applyNumberFormat="1" applyFont="1" applyFill="1" applyBorder="1"/>
    <xf numFmtId="164" fontId="7" fillId="0" borderId="4" xfId="1" applyNumberFormat="1" applyFont="1" applyFill="1" applyBorder="1"/>
    <xf numFmtId="164" fontId="7" fillId="0" borderId="4" xfId="1" applyNumberFormat="1" applyFont="1" applyBorder="1"/>
    <xf numFmtId="10" fontId="6" fillId="3" borderId="5" xfId="2" applyNumberFormat="1" applyFont="1" applyFill="1" applyBorder="1"/>
    <xf numFmtId="0" fontId="7" fillId="0" borderId="0" xfId="1" applyFont="1"/>
    <xf numFmtId="164" fontId="7" fillId="0" borderId="6" xfId="1" applyNumberFormat="1" applyFont="1" applyFill="1" applyBorder="1"/>
    <xf numFmtId="0" fontId="7" fillId="0" borderId="0" xfId="1" applyFont="1" applyFill="1"/>
    <xf numFmtId="164" fontId="8" fillId="0" borderId="1" xfId="1" applyNumberFormat="1" applyFont="1" applyBorder="1"/>
    <xf numFmtId="0" fontId="1" fillId="0" borderId="0" xfId="1" applyBorder="1"/>
    <xf numFmtId="164" fontId="8" fillId="0" borderId="0" xfId="1" applyNumberFormat="1" applyFont="1" applyFill="1" applyBorder="1"/>
    <xf numFmtId="164" fontId="8" fillId="0" borderId="7" xfId="1" applyNumberFormat="1" applyFont="1" applyFill="1" applyBorder="1"/>
    <xf numFmtId="164" fontId="1" fillId="0" borderId="0" xfId="1" applyNumberFormat="1" applyBorder="1"/>
    <xf numFmtId="164" fontId="8" fillId="0" borderId="6" xfId="1" applyNumberFormat="1" applyFont="1" applyFill="1" applyBorder="1"/>
    <xf numFmtId="164" fontId="1" fillId="0" borderId="0" xfId="1" applyNumberFormat="1"/>
    <xf numFmtId="10" fontId="9" fillId="0" borderId="0" xfId="2" applyNumberFormat="1" applyFont="1" applyFill="1" applyBorder="1"/>
    <xf numFmtId="10" fontId="6" fillId="0" borderId="0" xfId="2" applyNumberFormat="1" applyFont="1" applyFill="1" applyBorder="1"/>
    <xf numFmtId="164" fontId="8" fillId="0" borderId="1" xfId="1" applyNumberFormat="1" applyFont="1" applyFill="1" applyBorder="1"/>
    <xf numFmtId="165" fontId="1" fillId="0" borderId="0" xfId="1" applyNumberFormat="1" applyFill="1" applyBorder="1"/>
    <xf numFmtId="164" fontId="1" fillId="0" borderId="0" xfId="1" applyNumberFormat="1" applyFill="1" applyBorder="1"/>
    <xf numFmtId="10" fontId="6" fillId="3" borderId="8" xfId="2" applyNumberFormat="1" applyFont="1" applyFill="1" applyBorder="1"/>
    <xf numFmtId="164" fontId="7" fillId="0" borderId="0" xfId="1" applyNumberFormat="1" applyFont="1" applyFill="1" applyBorder="1"/>
    <xf numFmtId="0" fontId="1" fillId="0" borderId="0" xfId="1" applyFill="1"/>
    <xf numFmtId="164" fontId="8" fillId="0" borderId="0" xfId="1" applyNumberFormat="1" applyFont="1" applyBorder="1"/>
    <xf numFmtId="9" fontId="1" fillId="0" borderId="0" xfId="1" applyNumberFormat="1" applyBorder="1"/>
    <xf numFmtId="9" fontId="7" fillId="0" borderId="0" xfId="1" applyNumberFormat="1" applyFont="1" applyBorder="1"/>
    <xf numFmtId="165" fontId="7" fillId="0" borderId="9" xfId="1" applyNumberFormat="1" applyFont="1" applyBorder="1" applyAlignment="1"/>
    <xf numFmtId="9" fontId="7" fillId="0" borderId="0" xfId="2" applyFont="1" applyBorder="1"/>
    <xf numFmtId="9" fontId="5" fillId="0" borderId="0" xfId="3" applyFont="1" applyBorder="1"/>
    <xf numFmtId="165" fontId="7" fillId="0" borderId="0" xfId="1" applyNumberFormat="1" applyFont="1" applyBorder="1" applyAlignment="1"/>
    <xf numFmtId="9" fontId="7" fillId="0" borderId="0" xfId="3" applyFont="1" applyBorder="1"/>
    <xf numFmtId="166" fontId="1" fillId="0" borderId="0" xfId="1" applyNumberFormat="1" applyBorder="1"/>
    <xf numFmtId="9" fontId="1" fillId="0" borderId="0" xfId="1" applyNumberFormat="1"/>
    <xf numFmtId="164" fontId="7" fillId="0" borderId="0" xfId="2" applyNumberFormat="1" applyFont="1" applyBorder="1"/>
    <xf numFmtId="164" fontId="5" fillId="0" borderId="0" xfId="3" applyNumberFormat="1" applyFont="1" applyBorder="1"/>
    <xf numFmtId="164" fontId="8" fillId="0" borderId="6" xfId="1" applyNumberFormat="1" applyFont="1" applyBorder="1"/>
    <xf numFmtId="10" fontId="6" fillId="3" borderId="0" xfId="2" applyNumberFormat="1" applyFont="1" applyFill="1" applyBorder="1"/>
    <xf numFmtId="164" fontId="8" fillId="0" borderId="6" xfId="1" applyNumberFormat="1" applyFont="1" applyFill="1" applyBorder="1" applyAlignment="1">
      <alignment horizontal="right"/>
    </xf>
    <xf numFmtId="166" fontId="1" fillId="0" borderId="0" xfId="1" applyNumberFormat="1"/>
    <xf numFmtId="9" fontId="1" fillId="0" borderId="0" xfId="1" applyNumberFormat="1" applyFill="1"/>
    <xf numFmtId="0" fontId="11" fillId="0" borderId="0" xfId="0" applyFont="1"/>
    <xf numFmtId="0" fontId="12" fillId="4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0" borderId="7" xfId="0" applyFont="1" applyBorder="1"/>
    <xf numFmtId="0" fontId="13" fillId="0" borderId="5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13" xfId="0" applyFont="1" applyBorder="1"/>
    <xf numFmtId="0" fontId="12" fillId="0" borderId="0" xfId="0" applyFont="1"/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4" fillId="0" borderId="0" xfId="0" applyFont="1"/>
    <xf numFmtId="0" fontId="12" fillId="6" borderId="1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4" fillId="0" borderId="7" xfId="0" applyFont="1" applyBorder="1"/>
    <xf numFmtId="0" fontId="12" fillId="7" borderId="1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4" fillId="0" borderId="5" xfId="0" applyFont="1" applyBorder="1"/>
    <xf numFmtId="0" fontId="14" fillId="0" borderId="4" xfId="0" applyFont="1" applyBorder="1"/>
    <xf numFmtId="0" fontId="12" fillId="8" borderId="1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8" fillId="0" borderId="0" xfId="1" applyFont="1"/>
    <xf numFmtId="165" fontId="8" fillId="0" borderId="0" xfId="1" applyNumberFormat="1" applyFont="1" applyFill="1" applyBorder="1"/>
    <xf numFmtId="9" fontId="8" fillId="0" borderId="0" xfId="1" applyNumberFormat="1" applyFont="1" applyBorder="1"/>
    <xf numFmtId="0" fontId="8" fillId="0" borderId="0" xfId="1" applyFont="1" applyFill="1"/>
    <xf numFmtId="0" fontId="8" fillId="0" borderId="0" xfId="1" applyFont="1" applyFill="1" applyBorder="1"/>
    <xf numFmtId="0" fontId="4" fillId="2" borderId="0" xfId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14" xfId="0" applyFont="1" applyBorder="1"/>
    <xf numFmtId="0" fontId="12" fillId="0" borderId="6" xfId="0" applyFont="1" applyBorder="1"/>
  </cellXfs>
  <cellStyles count="4">
    <cellStyle name="Prozent 2 2 3" xfId="2" xr:uid="{00000000-0005-0000-0000-000000000000}"/>
    <cellStyle name="Prozent 2 3" xfId="3" xr:uid="{00000000-0005-0000-0000-000001000000}"/>
    <cellStyle name="Standard" xfId="0" builtinId="0"/>
    <cellStyle name="Standard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irol.gv.at/2_Finanzen/Betreute/VA/Tagessatz/2014/30+40/Kalkulation/SLW_Kalkulationsunterlagen_2014_Vers_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pie%20von%20Mehraufwandsberechnung%202025%20-%20END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mmdaten"/>
      <sheetName val="Angestellte per 31.12.2013"/>
      <sheetName val="freie DN, Hon.kr per 31.12.2013"/>
      <sheetName val="sonst. per 31.12.2013"/>
      <sheetName val="Tarif 2014 Übersicht"/>
      <sheetName val="Budget 2014 BKEK"/>
      <sheetName val="Budget 2014 BKK"/>
      <sheetName val="Budget 2014 BKKI"/>
      <sheetName val="Budget 2014 BSE"/>
      <sheetName val="Budget 2014 BSEI"/>
      <sheetName val="Budget 2014 BSI"/>
      <sheetName val="Budget 2014 BSII"/>
      <sheetName val="ELI Zusammenfassung2014"/>
      <sheetName val="301KORE-WJ2013"/>
      <sheetName val="301Budget-WJ2014"/>
      <sheetName val="Budget 2014 BATH"/>
      <sheetName val="Budget 2014 BATI"/>
      <sheetName val="Budget 2014 BTW"/>
      <sheetName val="Budget 2014 BTWI"/>
      <sheetName val="Budget 2014 BWH"/>
      <sheetName val="Budget 2014 BWHI"/>
      <sheetName val="Budget 2014 BWG"/>
      <sheetName val="slwIBK_Zusammenfassung2014"/>
      <sheetName val="401KORE-WJ2013"/>
      <sheetName val="401BUDGET-WJ2014"/>
      <sheetName val="GESBudget 2014"/>
      <sheetName val="AbrechnungWJ2013"/>
      <sheetName val="AbrechnungKJ2013"/>
      <sheetName val="To-Do"/>
      <sheetName val="Verprobung"/>
      <sheetName val="WJ2012-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T2">
            <v>1.036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T2">
            <v>1.03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 2022"/>
      <sheetName val="Normkostentarife 2025"/>
      <sheetName val="Indexierung 2025 + Budget"/>
      <sheetName val="Ambulante Suchtprävention"/>
      <sheetName val="arbas"/>
      <sheetName val="Arche Tirol"/>
      <sheetName val="ARGE Sellrain"/>
      <sheetName val="ARGE Außerfern"/>
      <sheetName val="Aufbauwerk"/>
      <sheetName val="Aurea - Reha Autismus"/>
      <sheetName val="Beratungsstelle für Gehörlose"/>
      <sheetName val="BHS Mils"/>
      <sheetName val="BSVT"/>
      <sheetName val="Caritas"/>
      <sheetName val="Chwatal"/>
      <sheetName val="Diakonie de la Tour"/>
      <sheetName val="Diakoniewerk"/>
      <sheetName val="forKIDS"/>
      <sheetName val="Geschützte Werkstätte"/>
      <sheetName val="Heilp. Familien"/>
      <sheetName val="IBBA"/>
      <sheetName val="ifs"/>
      <sheetName val="Impulse"/>
      <sheetName val="INNOVIA"/>
      <sheetName val="IWO"/>
      <sheetName val="LASO Mariatal"/>
      <sheetName val="Lebenshilfe"/>
      <sheetName val="lebenswelttirol"/>
      <sheetName val="Netzwerk St. Josef"/>
      <sheetName val="MOHI"/>
      <sheetName val="pro mente"/>
      <sheetName val="PSP"/>
      <sheetName val="Schritt für Schritt"/>
      <sheetName val="SLI"/>
      <sheetName val="slw"/>
      <sheetName val="St. Raphael"/>
      <sheetName val="start pro mente"/>
      <sheetName val="Suchthilfe Tirol"/>
      <sheetName val="TAfIE"/>
      <sheetName val="Therapienetz - Haus am Seespitz"/>
      <sheetName val="Verein Emmaus"/>
      <sheetName val="Verein für Obdachlose"/>
      <sheetName val="Verein UK"/>
      <sheetName val="Verein Vianova"/>
      <sheetName val="Heim Via Claudia"/>
      <sheetName val="W.I.R."/>
      <sheetName val="Kalkulation 2022 ZSB"/>
      <sheetName val="Übersicht"/>
      <sheetName val="Kindergarten"/>
      <sheetName val="Therapien 2023"/>
      <sheetName val="Schulassistenz"/>
      <sheetName val="Therapien Indexierung ÖGK"/>
    </sheetNames>
    <sheetDataSet>
      <sheetData sheetId="0" refreshError="1"/>
      <sheetData sheetId="1"/>
      <sheetData sheetId="2">
        <row r="11">
          <cell r="B11">
            <v>1.04</v>
          </cell>
        </row>
        <row r="15">
          <cell r="B15">
            <v>1.0390999999999999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127"/>
  <sheetViews>
    <sheetView showGridLines="0" tabSelected="1" view="pageBreakPreview" zoomScale="60" zoomScaleNormal="100" workbookViewId="0">
      <selection activeCell="K3" sqref="K3"/>
    </sheetView>
  </sheetViews>
  <sheetFormatPr baseColWidth="10" defaultRowHeight="15" x14ac:dyDescent="0.25"/>
  <cols>
    <col min="1" max="1" width="9.140625" style="2" customWidth="1"/>
    <col min="2" max="2" width="9.28515625" style="2" customWidth="1"/>
    <col min="3" max="3" width="10.85546875" style="2" customWidth="1"/>
    <col min="4" max="4" width="12.140625" style="2" customWidth="1"/>
    <col min="5" max="5" width="10" style="2" customWidth="1"/>
    <col min="6" max="6" width="10.42578125" style="2" customWidth="1"/>
    <col min="7" max="7" width="10.85546875" style="2" customWidth="1"/>
    <col min="8" max="8" width="11.7109375" style="2" customWidth="1"/>
    <col min="9" max="9" width="12.140625" style="2" customWidth="1"/>
    <col min="10" max="11" width="11.85546875" style="2" customWidth="1"/>
    <col min="12" max="12" width="11.5703125" style="2" customWidth="1"/>
    <col min="13" max="13" width="9.140625" style="2" customWidth="1"/>
    <col min="14" max="14" width="13.42578125" style="2" customWidth="1"/>
    <col min="15" max="15" width="8" style="2" customWidth="1"/>
    <col min="16" max="16" width="8.140625" style="2" customWidth="1"/>
    <col min="17" max="16384" width="11.42578125" style="2"/>
  </cols>
  <sheetData>
    <row r="1" spans="1:21" ht="18.75" x14ac:dyDescent="0.3">
      <c r="A1" s="1" t="s">
        <v>47</v>
      </c>
      <c r="C1" s="3"/>
      <c r="D1" s="4"/>
      <c r="O1" s="5"/>
    </row>
    <row r="2" spans="1:21" ht="21" x14ac:dyDescent="0.3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21" ht="21" x14ac:dyDescent="0.35">
      <c r="A3" s="6"/>
      <c r="B3" s="6"/>
      <c r="C3" s="6"/>
      <c r="D3" s="6"/>
      <c r="E3" s="6"/>
      <c r="O3" s="5"/>
    </row>
    <row r="4" spans="1:21" ht="21" x14ac:dyDescent="0.35">
      <c r="A4" s="7" t="s">
        <v>1</v>
      </c>
      <c r="B4" s="6"/>
      <c r="C4" s="6"/>
      <c r="D4" s="6"/>
      <c r="E4" s="6"/>
      <c r="O4" s="5"/>
    </row>
    <row r="5" spans="1:21" ht="15.75" thickBot="1" x14ac:dyDescent="0.3">
      <c r="L5" s="2" t="s">
        <v>2</v>
      </c>
      <c r="M5" s="2" t="s">
        <v>3</v>
      </c>
    </row>
    <row r="6" spans="1:21" ht="15.75" thickBot="1" x14ac:dyDescent="0.3">
      <c r="A6" s="8" t="s">
        <v>4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10" t="s">
        <v>10</v>
      </c>
      <c r="H6" s="8" t="s">
        <v>11</v>
      </c>
      <c r="I6" s="8" t="s">
        <v>12</v>
      </c>
      <c r="J6" s="9" t="s">
        <v>13</v>
      </c>
      <c r="K6" s="8" t="s">
        <v>14</v>
      </c>
      <c r="L6" s="8" t="s">
        <v>15</v>
      </c>
      <c r="M6" s="8" t="s">
        <v>15</v>
      </c>
      <c r="N6" s="8" t="s">
        <v>16</v>
      </c>
      <c r="O6" s="8" t="s">
        <v>17</v>
      </c>
      <c r="P6" s="8" t="s">
        <v>18</v>
      </c>
    </row>
    <row r="7" spans="1:21" s="14" customFormat="1" ht="16.5" thickBot="1" x14ac:dyDescent="0.3">
      <c r="A7" s="11">
        <f>ROUND(72.7*'[2]Indexierung 2025 + Budget'!$B$15,1)</f>
        <v>75.5</v>
      </c>
      <c r="B7" s="11">
        <f>ROUND(82.5*'[2]Indexierung 2025 + Budget'!$B$15,1)</f>
        <v>85.7</v>
      </c>
      <c r="C7" s="11">
        <f>ROUND(43.9*'[2]Indexierung 2025 + Budget'!$B$15,1)</f>
        <v>45.6</v>
      </c>
      <c r="D7" s="11">
        <f>ROUND(60.6*'[2]Indexierung 2025 + Budget'!$B$15,1)</f>
        <v>63</v>
      </c>
      <c r="E7" s="11">
        <f>ROUND(135.3*'[2]Indexierung 2025 + Budget'!$B$15,1)</f>
        <v>140.6</v>
      </c>
      <c r="F7" s="11">
        <f>ROUND(90*'[2]Indexierung 2025 + Budget'!$B$15,1)</f>
        <v>93.5</v>
      </c>
      <c r="G7" s="26">
        <f>ROUND(118.6*'[2]Indexierung 2025 + Budget'!$B$15,1)</f>
        <v>123.2</v>
      </c>
      <c r="H7" s="26">
        <f>ROUND(79*'[2]Indexierung 2025 + Budget'!$B$15,1)</f>
        <v>82.1</v>
      </c>
      <c r="I7" s="11">
        <f>ROUND(98.3*'[2]Indexierung 2025 + Budget'!$B$15,1)</f>
        <v>102.1</v>
      </c>
      <c r="J7" s="11">
        <f>ROUND(98.3*'[2]Indexierung 2025 + Budget'!$B$15,1)</f>
        <v>102.1</v>
      </c>
      <c r="K7" s="11">
        <f>ROUND(98.3*'[2]Indexierung 2025 + Budget'!$B$15,1)</f>
        <v>102.1</v>
      </c>
      <c r="L7" s="11">
        <f>ROUND(76.8*'[2]Indexierung 2025 + Budget'!$B$15,1)</f>
        <v>79.8</v>
      </c>
      <c r="M7" s="12">
        <f>ROUND(47.2*'[2]Indexierung 2025 + Budget'!$B$15,1)</f>
        <v>49</v>
      </c>
      <c r="N7" s="13"/>
      <c r="O7" s="11">
        <f>ROUND(88.8*'[2]Indexierung 2025 + Budget'!$B$15,1)</f>
        <v>92.3</v>
      </c>
      <c r="P7" s="11">
        <f>ROUND(60.6*'[2]Indexierung 2025 + Budget'!$B$15,1)</f>
        <v>63</v>
      </c>
    </row>
    <row r="8" spans="1:21" s="14" customFormat="1" ht="16.5" thickBot="1" x14ac:dyDescent="0.3">
      <c r="A8" s="15">
        <f>ROUND(8.8*'[2]Indexierung 2025 + Budget'!$B$11,1)</f>
        <v>9.1999999999999993</v>
      </c>
      <c r="B8" s="15">
        <f>ROUND(9.7*'[2]Indexierung 2025 + Budget'!$B$11,1)</f>
        <v>10.1</v>
      </c>
      <c r="C8" s="15">
        <f>ROUND(6.6*'[2]Indexierung 2025 + Budget'!$B$11,1)</f>
        <v>6.9</v>
      </c>
      <c r="D8" s="15">
        <f>ROUND(7.3*'[2]Indexierung 2025 + Budget'!$B$11,1)</f>
        <v>7.6</v>
      </c>
      <c r="E8" s="15">
        <f>ROUND(28.3*'[2]Indexierung 2025 + Budget'!$B$11,1)</f>
        <v>29.4</v>
      </c>
      <c r="F8" s="15">
        <f>ROUND(12.9*'[2]Indexierung 2025 + Budget'!$B$11,1)</f>
        <v>13.4</v>
      </c>
      <c r="G8" s="16"/>
      <c r="H8" s="16"/>
      <c r="I8" s="15">
        <f>ROUND(14.9*'[2]Indexierung 2025 + Budget'!$B$11,1)</f>
        <v>15.5</v>
      </c>
      <c r="J8" s="15">
        <f>ROUND(14.9*'[2]Indexierung 2025 + Budget'!$B$11,1)</f>
        <v>15.5</v>
      </c>
      <c r="K8" s="15">
        <f>ROUND(14.9*'[2]Indexierung 2025 + Budget'!$B$11,1)</f>
        <v>15.5</v>
      </c>
      <c r="L8" s="15">
        <f>ROUND(9.9*'[2]Indexierung 2025 + Budget'!$B$11,1)</f>
        <v>10.3</v>
      </c>
      <c r="M8" s="11"/>
      <c r="N8" s="26">
        <f>ROUND(65.6*'[2]Indexierung 2025 + Budget'!$B$15,1)</f>
        <v>68.2</v>
      </c>
      <c r="O8" s="15">
        <f>ROUND(9.7*'[2]Indexierung 2025 + Budget'!$B$11,1)</f>
        <v>10.1</v>
      </c>
      <c r="P8" s="15">
        <f>ROUND(7.3*'[2]Indexierung 2025 + Budget'!$B$11,1)</f>
        <v>7.6</v>
      </c>
    </row>
    <row r="9" spans="1:21" ht="16.5" thickBot="1" x14ac:dyDescent="0.3">
      <c r="A9" s="17">
        <f t="shared" ref="A9:F9" si="0">SUM(A7:A8)</f>
        <v>84.7</v>
      </c>
      <c r="B9" s="17">
        <f t="shared" si="0"/>
        <v>95.8</v>
      </c>
      <c r="C9" s="17">
        <f t="shared" si="0"/>
        <v>52.5</v>
      </c>
      <c r="D9" s="17">
        <f t="shared" si="0"/>
        <v>70.599999999999994</v>
      </c>
      <c r="E9" s="17">
        <f t="shared" si="0"/>
        <v>170</v>
      </c>
      <c r="F9" s="17">
        <f t="shared" si="0"/>
        <v>106.9</v>
      </c>
      <c r="I9" s="17">
        <f>SUM(I7:I8)</f>
        <v>117.6</v>
      </c>
      <c r="J9" s="17">
        <f>SUM(J7:J8)</f>
        <v>117.6</v>
      </c>
      <c r="K9" s="17">
        <f>SUM(K7:K8)</f>
        <v>117.6</v>
      </c>
      <c r="L9" s="17">
        <f>SUM(L7:L8)</f>
        <v>90.1</v>
      </c>
      <c r="M9" s="17">
        <f>SUM(M7:M8)</f>
        <v>49</v>
      </c>
      <c r="O9" s="17">
        <f>SUM(O7:O8)</f>
        <v>102.39999999999999</v>
      </c>
      <c r="P9" s="17">
        <f>SUM(P7:P8)</f>
        <v>70.599999999999994</v>
      </c>
    </row>
    <row r="10" spans="1:21" ht="15.75" x14ac:dyDescent="0.25">
      <c r="B10" s="18"/>
      <c r="C10" s="18"/>
      <c r="D10" s="18"/>
      <c r="E10" s="18"/>
      <c r="F10" s="18"/>
      <c r="G10" s="19"/>
      <c r="I10" s="18"/>
      <c r="J10" s="20">
        <f>ROUND(J7+32.2*'[2]Indexierung 2025 + Budget'!$B$11,1)</f>
        <v>135.6</v>
      </c>
      <c r="K10" s="18"/>
      <c r="L10" s="18"/>
      <c r="M10" s="21"/>
      <c r="N10" s="18"/>
    </row>
    <row r="11" spans="1:21" ht="19.5" thickBot="1" x14ac:dyDescent="0.35">
      <c r="A11" s="7" t="s">
        <v>19</v>
      </c>
      <c r="J11" s="22" t="s">
        <v>20</v>
      </c>
      <c r="L11" s="23"/>
      <c r="U11" s="23"/>
    </row>
    <row r="12" spans="1:21" ht="15.75" thickBot="1" x14ac:dyDescent="0.3"/>
    <row r="13" spans="1:21" ht="15.75" thickBot="1" x14ac:dyDescent="0.3">
      <c r="A13" s="8" t="s">
        <v>21</v>
      </c>
      <c r="B13" s="8" t="s">
        <v>22</v>
      </c>
      <c r="C13" s="8" t="s">
        <v>23</v>
      </c>
      <c r="D13" s="8" t="s">
        <v>24</v>
      </c>
      <c r="E13" s="8" t="s">
        <v>25</v>
      </c>
      <c r="F13" s="8" t="s">
        <v>26</v>
      </c>
      <c r="G13" s="8" t="s">
        <v>27</v>
      </c>
      <c r="H13" s="8" t="s">
        <v>28</v>
      </c>
      <c r="I13" s="8" t="s">
        <v>29</v>
      </c>
      <c r="J13" s="8" t="s">
        <v>30</v>
      </c>
      <c r="K13" s="8" t="s">
        <v>31</v>
      </c>
      <c r="L13" s="8" t="s">
        <v>32</v>
      </c>
      <c r="M13" s="8" t="s">
        <v>33</v>
      </c>
    </row>
    <row r="14" spans="1:21" s="77" customFormat="1" ht="16.5" thickBot="1" x14ac:dyDescent="0.3">
      <c r="A14" s="26">
        <f>ROUND(339.2*'[2]Indexierung 2025 + Budget'!$B$15,1)</f>
        <v>352.5</v>
      </c>
      <c r="B14" s="26">
        <f>ROUND(156.2*'[2]Indexierung 2025 + Budget'!$B$15,1)</f>
        <v>162.30000000000001</v>
      </c>
      <c r="C14" s="26">
        <f>ROUND(127.3*'[2]Indexierung 2025 + Budget'!$B$15,1)</f>
        <v>132.30000000000001</v>
      </c>
      <c r="D14" s="26">
        <f>ROUND(183.6*'[2]Indexierung 2025 + Budget'!$B$15,1)</f>
        <v>190.8</v>
      </c>
      <c r="E14" s="26">
        <f>ROUND(235.1*'[2]Indexierung 2025 + Budget'!$B$15,1)</f>
        <v>244.3</v>
      </c>
      <c r="F14" s="26">
        <f>ROUND(120.6*'[2]Indexierung 2025 + Budget'!$B$15,1)</f>
        <v>125.3</v>
      </c>
      <c r="G14" s="26">
        <f>ROUND(61.1*'[2]Indexierung 2025 + Budget'!$B$15,1)</f>
        <v>63.5</v>
      </c>
      <c r="H14" s="26">
        <f>ROUND(146.5*'[2]Indexierung 2025 + Budget'!$B$15,1)</f>
        <v>152.19999999999999</v>
      </c>
      <c r="I14" s="26">
        <f>ROUND(87*'[2]Indexierung 2025 + Budget'!$B$15,1)</f>
        <v>90.4</v>
      </c>
      <c r="J14" s="26">
        <f>ROUND(173.8*'[2]Indexierung 2025 + Budget'!$B$15,1)</f>
        <v>180.6</v>
      </c>
      <c r="K14" s="26">
        <f>ROUND(244.7*'[2]Indexierung 2025 + Budget'!$B$15,1)</f>
        <v>254.3</v>
      </c>
      <c r="L14" s="26">
        <f>ROUND(160.9*'[2]Indexierung 2025 + Budget'!$B$15,1)</f>
        <v>167.2</v>
      </c>
      <c r="M14" s="26">
        <f>ROUND(364*'[2]Indexierung 2025 + Budget'!$B$15,1)</f>
        <v>378.2</v>
      </c>
    </row>
    <row r="15" spans="1:21" s="77" customFormat="1" ht="16.5" thickBot="1" x14ac:dyDescent="0.3">
      <c r="A15" s="19" t="s">
        <v>116</v>
      </c>
      <c r="B15" s="26">
        <f>B14+26.4</f>
        <v>188.70000000000002</v>
      </c>
      <c r="C15" s="26">
        <v>158.69999999999999</v>
      </c>
      <c r="D15" s="8" t="s">
        <v>35</v>
      </c>
      <c r="E15" s="8" t="s">
        <v>36</v>
      </c>
      <c r="F15" s="8" t="s">
        <v>37</v>
      </c>
      <c r="G15" s="19"/>
      <c r="H15" s="19"/>
      <c r="I15" s="19"/>
      <c r="J15" s="8" t="s">
        <v>38</v>
      </c>
      <c r="K15" s="8" t="s">
        <v>39</v>
      </c>
      <c r="L15" s="19"/>
      <c r="M15" s="19"/>
    </row>
    <row r="16" spans="1:21" ht="16.5" thickBot="1" x14ac:dyDescent="0.3">
      <c r="C16" s="8" t="s">
        <v>34</v>
      </c>
      <c r="D16" s="26">
        <f>ROUND(D14*1.3,1)</f>
        <v>248</v>
      </c>
      <c r="E16" s="26">
        <f>ROUND(E14*1.3,1)</f>
        <v>317.60000000000002</v>
      </c>
      <c r="F16" s="26">
        <f>ROUND(F14*1.3,1)</f>
        <v>162.9</v>
      </c>
      <c r="G16" s="24"/>
      <c r="H16" s="25"/>
      <c r="I16" s="24"/>
      <c r="J16" s="26">
        <f>ROUND(J14*1.3,1)</f>
        <v>234.8</v>
      </c>
      <c r="K16" s="26">
        <f>ROUND(K14*1.3,1)</f>
        <v>330.6</v>
      </c>
    </row>
    <row r="17" spans="1:16" s="77" customFormat="1" ht="16.5" thickBot="1" x14ac:dyDescent="0.3">
      <c r="C17" s="26">
        <f>ROUND(C14*1.3,1)</f>
        <v>172</v>
      </c>
      <c r="G17" s="78"/>
      <c r="H17" s="78"/>
      <c r="I17" s="78"/>
    </row>
    <row r="18" spans="1:16" s="77" customFormat="1" ht="16.5" thickBot="1" x14ac:dyDescent="0.3">
      <c r="A18" s="81"/>
      <c r="B18" s="81" t="s">
        <v>116</v>
      </c>
      <c r="C18" s="26">
        <v>198.4</v>
      </c>
      <c r="D18" s="19"/>
      <c r="E18" s="19"/>
      <c r="F18" s="19"/>
      <c r="G18" s="81"/>
      <c r="H18" s="81"/>
      <c r="I18" s="81"/>
      <c r="J18" s="81"/>
      <c r="K18" s="19"/>
      <c r="L18" s="81"/>
      <c r="M18" s="81"/>
      <c r="N18" s="81"/>
      <c r="O18" s="81"/>
    </row>
    <row r="19" spans="1:16" x14ac:dyDescent="0.25">
      <c r="C19" s="28"/>
      <c r="D19" s="28"/>
      <c r="E19" s="28"/>
      <c r="F19" s="28"/>
      <c r="K19" s="21"/>
    </row>
    <row r="20" spans="1:16" ht="21" x14ac:dyDescent="0.35">
      <c r="A20" s="82" t="s">
        <v>40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</row>
    <row r="21" spans="1:16" ht="21" x14ac:dyDescent="0.35">
      <c r="A21" s="6"/>
      <c r="B21" s="6"/>
      <c r="C21" s="6"/>
      <c r="D21" s="6"/>
      <c r="E21" s="6"/>
    </row>
    <row r="22" spans="1:16" ht="21" x14ac:dyDescent="0.35">
      <c r="A22" s="7" t="s">
        <v>1</v>
      </c>
      <c r="B22" s="6"/>
      <c r="C22" s="6"/>
      <c r="D22" s="6"/>
      <c r="E22" s="6"/>
    </row>
    <row r="23" spans="1:16" ht="15.75" thickBot="1" x14ac:dyDescent="0.3"/>
    <row r="24" spans="1:16" ht="15.75" thickBot="1" x14ac:dyDescent="0.3">
      <c r="A24" s="8" t="s">
        <v>4</v>
      </c>
      <c r="B24" s="9" t="s">
        <v>5</v>
      </c>
      <c r="C24" s="29" t="s">
        <v>8</v>
      </c>
      <c r="D24" s="8" t="s">
        <v>13</v>
      </c>
      <c r="E24" s="10" t="s">
        <v>17</v>
      </c>
    </row>
    <row r="25" spans="1:16" x14ac:dyDescent="0.25">
      <c r="A25" s="11">
        <f>ROUND(71.8*'[2]Indexierung 2025 + Budget'!$B$15,1)</f>
        <v>74.599999999999994</v>
      </c>
      <c r="B25" s="11">
        <f>ROUND(81.7*'[2]Indexierung 2025 + Budget'!$B$15,1)</f>
        <v>84.9</v>
      </c>
      <c r="C25" s="11">
        <f>ROUND(134.6*'[2]Indexierung 2025 + Budget'!$B$15,1)</f>
        <v>139.9</v>
      </c>
      <c r="D25" s="11">
        <f>ROUND(97.8*'[2]Indexierung 2025 + Budget'!$B$15,1)</f>
        <v>101.6</v>
      </c>
      <c r="E25" s="11">
        <f>ROUND(87.9*'[2]Indexierung 2025 + Budget'!$B$15,1)</f>
        <v>91.3</v>
      </c>
    </row>
    <row r="26" spans="1:16" s="31" customFormat="1" ht="15.75" thickBot="1" x14ac:dyDescent="0.3">
      <c r="A26" s="15">
        <f>ROUND(8.6*'[2]Indexierung 2025 + Budget'!$B$11,1)</f>
        <v>8.9</v>
      </c>
      <c r="B26" s="15">
        <f>ROUND(9.7*'[2]Indexierung 2025 + Budget'!$B$11,1)</f>
        <v>10.1</v>
      </c>
      <c r="C26" s="15">
        <f>ROUND(28.2*'[2]Indexierung 2025 + Budget'!$B$11,1)</f>
        <v>29.3</v>
      </c>
      <c r="D26" s="15">
        <f>ROUND(14.7*'[2]Indexierung 2025 + Budget'!$B$11,1)</f>
        <v>15.3</v>
      </c>
      <c r="E26" s="15">
        <f>ROUND(9.7*'[2]Indexierung 2025 + Budget'!$B$11,1)</f>
        <v>10.1</v>
      </c>
      <c r="F26" s="2"/>
      <c r="G26" s="30"/>
      <c r="H26" s="30"/>
      <c r="I26" s="5"/>
      <c r="J26" s="5"/>
      <c r="K26" s="30"/>
      <c r="L26" s="5"/>
      <c r="M26" s="5"/>
      <c r="N26" s="5"/>
    </row>
    <row r="27" spans="1:16" ht="16.5" thickBot="1" x14ac:dyDescent="0.3">
      <c r="A27" s="17">
        <f>SUM(A25:A26)</f>
        <v>83.5</v>
      </c>
      <c r="B27" s="17">
        <f>SUM(B25:B26)</f>
        <v>95</v>
      </c>
      <c r="C27" s="17">
        <f>SUM(C25:C26)</f>
        <v>169.20000000000002</v>
      </c>
      <c r="D27" s="17">
        <f>SUM(D25:D26)</f>
        <v>116.89999999999999</v>
      </c>
      <c r="E27" s="17">
        <f>SUM(E25:E26)</f>
        <v>101.39999999999999</v>
      </c>
      <c r="G27" s="32"/>
      <c r="H27" s="32"/>
      <c r="I27" s="18"/>
      <c r="J27" s="18"/>
      <c r="K27" s="32"/>
      <c r="L27" s="18"/>
      <c r="M27" s="18"/>
      <c r="N27" s="18"/>
    </row>
    <row r="28" spans="1:16" ht="15.75" x14ac:dyDescent="0.25">
      <c r="A28" s="33"/>
      <c r="B28" s="34"/>
      <c r="C28" s="35"/>
      <c r="D28" s="20">
        <f>D25+32.1*'[2]Indexierung 2025 + Budget'!$B$11</f>
        <v>134.98399999999998</v>
      </c>
      <c r="E28" s="36"/>
      <c r="F28" s="37"/>
      <c r="G28" s="33"/>
      <c r="H28" s="21"/>
      <c r="I28" s="37"/>
      <c r="J28" s="18"/>
      <c r="K28" s="37"/>
      <c r="L28" s="34"/>
      <c r="M28" s="34"/>
      <c r="N28" s="34"/>
    </row>
    <row r="29" spans="1:16" ht="16.5" thickBot="1" x14ac:dyDescent="0.3">
      <c r="A29" s="33"/>
      <c r="B29" s="34"/>
      <c r="C29" s="38"/>
      <c r="D29" s="22" t="s">
        <v>20</v>
      </c>
      <c r="E29" s="36"/>
      <c r="F29" s="37"/>
      <c r="G29" s="33"/>
      <c r="H29" s="21"/>
      <c r="I29" s="37"/>
      <c r="J29" s="18"/>
      <c r="K29" s="37"/>
      <c r="L29" s="34"/>
      <c r="M29" s="34"/>
      <c r="N29" s="34"/>
    </row>
    <row r="30" spans="1:16" ht="18.75" x14ac:dyDescent="0.3">
      <c r="A30" s="7" t="s">
        <v>19</v>
      </c>
      <c r="F30" s="21"/>
      <c r="G30" s="18"/>
      <c r="H30" s="18"/>
      <c r="I30" s="18"/>
      <c r="J30" s="39"/>
      <c r="K30" s="18"/>
      <c r="L30" s="40"/>
      <c r="M30" s="18"/>
      <c r="N30" s="18"/>
    </row>
    <row r="31" spans="1:16" ht="15.75" thickBot="1" x14ac:dyDescent="0.3"/>
    <row r="32" spans="1:16" ht="15.75" thickBot="1" x14ac:dyDescent="0.3">
      <c r="A32" s="8" t="s">
        <v>22</v>
      </c>
      <c r="B32" s="8" t="s">
        <v>23</v>
      </c>
      <c r="C32" s="8" t="s">
        <v>24</v>
      </c>
      <c r="D32" s="8" t="s">
        <v>25</v>
      </c>
      <c r="E32" s="8" t="s">
        <v>26</v>
      </c>
      <c r="F32" s="8" t="s">
        <v>27</v>
      </c>
      <c r="G32" s="8" t="s">
        <v>28</v>
      </c>
      <c r="H32" s="8" t="s">
        <v>31</v>
      </c>
      <c r="I32" s="8" t="s">
        <v>32</v>
      </c>
      <c r="J32" s="8" t="s">
        <v>33</v>
      </c>
      <c r="K32" s="34"/>
      <c r="L32" s="34"/>
      <c r="M32" s="34"/>
    </row>
    <row r="33" spans="1:16" s="77" customFormat="1" ht="16.5" thickBot="1" x14ac:dyDescent="0.3">
      <c r="A33" s="26">
        <f>ROUND(154.5*'[2]Indexierung 2025 + Budget'!$B$15,1)</f>
        <v>160.5</v>
      </c>
      <c r="B33" s="26">
        <f>ROUND(126.3*'[2]Indexierung 2025 + Budget'!$B$15,1)</f>
        <v>131.19999999999999</v>
      </c>
      <c r="C33" s="26">
        <f>ROUND(182*'[2]Indexierung 2025 + Budget'!$B$15,1)</f>
        <v>189.1</v>
      </c>
      <c r="D33" s="26">
        <f>ROUND(233.4*'[2]Indexierung 2025 + Budget'!$B$15,1)</f>
        <v>242.5</v>
      </c>
      <c r="E33" s="26">
        <f>ROUND(119.6*'[2]Indexierung 2025 + Budget'!$B$15,1)</f>
        <v>124.3</v>
      </c>
      <c r="F33" s="26">
        <f>ROUND(60.7*'[2]Indexierung 2025 + Budget'!$B$15,1)</f>
        <v>63.1</v>
      </c>
      <c r="G33" s="26">
        <f>ROUND(145.6*'[2]Indexierung 2025 + Budget'!$B$15,1)</f>
        <v>151.30000000000001</v>
      </c>
      <c r="H33" s="26">
        <f>ROUND(242.9*'[2]Indexierung 2025 + Budget'!$B$15,1)</f>
        <v>252.4</v>
      </c>
      <c r="I33" s="26">
        <f>ROUND(159.4*'[2]Indexierung 2025 + Budget'!$B$15,1)</f>
        <v>165.6</v>
      </c>
      <c r="J33" s="26">
        <f>ROUND(360.6*'[2]Indexierung 2025 + Budget'!$B$15,1)</f>
        <v>374.7</v>
      </c>
      <c r="K33" s="79"/>
      <c r="L33" s="79"/>
      <c r="M33" s="79"/>
    </row>
    <row r="34" spans="1:16" ht="16.5" thickBot="1" x14ac:dyDescent="0.3">
      <c r="A34" s="26">
        <v>186.9</v>
      </c>
      <c r="B34" s="26">
        <v>157.6</v>
      </c>
      <c r="C34" s="8" t="s">
        <v>35</v>
      </c>
      <c r="D34" s="8" t="s">
        <v>36</v>
      </c>
      <c r="E34" s="8" t="s">
        <v>37</v>
      </c>
      <c r="F34" s="24"/>
      <c r="H34" s="8" t="s">
        <v>39</v>
      </c>
      <c r="J34" s="24"/>
      <c r="K34" s="34"/>
      <c r="L34" s="34"/>
      <c r="M34" s="34"/>
    </row>
    <row r="35" spans="1:16" s="77" customFormat="1" ht="16.5" thickBot="1" x14ac:dyDescent="0.3">
      <c r="B35" s="8" t="s">
        <v>34</v>
      </c>
      <c r="C35" s="26">
        <f>ROUND(C33*1.3,1)</f>
        <v>245.8</v>
      </c>
      <c r="D35" s="26">
        <f>ROUND(D33*1.3,1)</f>
        <v>315.3</v>
      </c>
      <c r="E35" s="26">
        <f>ROUND(E33*1.3,1)</f>
        <v>161.6</v>
      </c>
      <c r="G35" s="78"/>
      <c r="H35" s="26">
        <f>ROUND(H33*1.3,1)</f>
        <v>328.1</v>
      </c>
      <c r="K35" s="79"/>
      <c r="L35" s="79"/>
      <c r="M35" s="79"/>
    </row>
    <row r="36" spans="1:16" ht="16.5" thickBot="1" x14ac:dyDescent="0.3">
      <c r="A36" s="41"/>
      <c r="B36" s="26">
        <f>ROUND(B33*1.3,1)</f>
        <v>170.6</v>
      </c>
      <c r="C36" s="41"/>
      <c r="D36" s="41"/>
      <c r="E36" s="41"/>
      <c r="F36" s="41"/>
      <c r="G36" s="41"/>
      <c r="H36" s="41"/>
      <c r="I36" s="41"/>
    </row>
    <row r="37" spans="1:16" ht="16.5" thickBot="1" x14ac:dyDescent="0.3">
      <c r="A37" s="41"/>
      <c r="B37" s="26">
        <v>197</v>
      </c>
      <c r="C37" s="41"/>
      <c r="D37" s="41"/>
      <c r="E37" s="41"/>
      <c r="F37" s="41"/>
      <c r="G37" s="41"/>
      <c r="H37" s="41"/>
      <c r="I37" s="41"/>
    </row>
    <row r="38" spans="1:16" x14ac:dyDescent="0.25">
      <c r="C38" s="28"/>
      <c r="D38" s="28"/>
      <c r="E38" s="28"/>
      <c r="F38" s="28"/>
      <c r="K38" s="21"/>
    </row>
    <row r="39" spans="1:16" ht="21" x14ac:dyDescent="0.35">
      <c r="A39" s="82" t="s">
        <v>41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21" x14ac:dyDescent="0.35">
      <c r="A40" s="6"/>
      <c r="B40" s="6"/>
      <c r="C40" s="6"/>
      <c r="D40" s="6"/>
      <c r="E40" s="6"/>
    </row>
    <row r="41" spans="1:16" ht="21" x14ac:dyDescent="0.35">
      <c r="A41" s="7" t="s">
        <v>1</v>
      </c>
      <c r="B41" s="6"/>
      <c r="C41" s="6"/>
      <c r="D41" s="6"/>
      <c r="E41" s="6"/>
    </row>
    <row r="42" spans="1:16" ht="15.75" thickBot="1" x14ac:dyDescent="0.3"/>
    <row r="43" spans="1:16" ht="15.75" thickBot="1" x14ac:dyDescent="0.3">
      <c r="A43" s="8" t="s">
        <v>4</v>
      </c>
      <c r="B43" s="29" t="s">
        <v>8</v>
      </c>
      <c r="C43" s="8" t="s">
        <v>13</v>
      </c>
      <c r="D43" s="10" t="s">
        <v>17</v>
      </c>
    </row>
    <row r="44" spans="1:16" x14ac:dyDescent="0.25">
      <c r="A44" s="11">
        <f>ROUND(71.4*'[2]Indexierung 2025 + Budget'!$B$15,1)</f>
        <v>74.2</v>
      </c>
      <c r="B44" s="11">
        <f>ROUND(134.1*'[2]Indexierung 2025 + Budget'!$B$15,1)</f>
        <v>139.30000000000001</v>
      </c>
      <c r="C44" s="11">
        <f>ROUND(97.1*'[2]Indexierung 2025 + Budget'!$B$15,1)</f>
        <v>100.9</v>
      </c>
      <c r="D44" s="11">
        <f>ROUND(87.1*'[2]Indexierung 2025 + Budget'!$B$15,1)</f>
        <v>90.5</v>
      </c>
    </row>
    <row r="45" spans="1:16" s="31" customFormat="1" ht="15.75" thickBot="1" x14ac:dyDescent="0.3">
      <c r="A45" s="15">
        <f>ROUND(8.6*'[2]Indexierung 2025 + Budget'!$B$11,1)</f>
        <v>8.9</v>
      </c>
      <c r="B45" s="15">
        <f>ROUND(28.1*'[2]Indexierung 2025 + Budget'!$B$11,1)</f>
        <v>29.2</v>
      </c>
      <c r="C45" s="15">
        <f>ROUND(14.7*'[2]Indexierung 2025 + Budget'!$B$11,1)</f>
        <v>15.3</v>
      </c>
      <c r="D45" s="15">
        <f>ROUND(9.5*'[2]Indexierung 2025 + Budget'!$B$11,1)</f>
        <v>9.9</v>
      </c>
      <c r="E45" s="30"/>
      <c r="F45" s="30"/>
      <c r="G45" s="30"/>
      <c r="H45" s="5"/>
      <c r="I45" s="5"/>
      <c r="J45" s="30"/>
      <c r="K45" s="5"/>
    </row>
    <row r="46" spans="1:16" ht="16.5" thickBot="1" x14ac:dyDescent="0.3">
      <c r="A46" s="17">
        <f>SUM(A44:A45)</f>
        <v>83.100000000000009</v>
      </c>
      <c r="B46" s="17">
        <f>SUM(B44:B45)</f>
        <v>168.5</v>
      </c>
      <c r="C46" s="17">
        <f>SUM(C44:C45)</f>
        <v>116.2</v>
      </c>
      <c r="D46" s="17">
        <f>SUM(D44:D45)</f>
        <v>100.4</v>
      </c>
      <c r="E46" s="32"/>
      <c r="F46" s="32"/>
      <c r="G46" s="32"/>
      <c r="H46" s="18"/>
      <c r="I46" s="18"/>
      <c r="J46" s="32"/>
      <c r="K46" s="18"/>
    </row>
    <row r="47" spans="1:16" ht="15.75" x14ac:dyDescent="0.25">
      <c r="A47" s="33"/>
      <c r="B47" s="34"/>
      <c r="C47" s="20">
        <f>C44+31.8*'[2]Indexierung 2025 + Budget'!$B$11</f>
        <v>133.97200000000001</v>
      </c>
      <c r="E47" s="42"/>
      <c r="F47" s="43"/>
      <c r="G47" s="33"/>
      <c r="H47" s="33"/>
      <c r="I47" s="37"/>
      <c r="J47" s="18"/>
      <c r="K47" s="37"/>
      <c r="L47" s="34"/>
    </row>
    <row r="48" spans="1:16" ht="16.5" thickBot="1" x14ac:dyDescent="0.3">
      <c r="A48" s="33"/>
      <c r="B48" s="34"/>
      <c r="C48" s="44" t="s">
        <v>20</v>
      </c>
      <c r="E48" s="42"/>
      <c r="F48" s="43"/>
      <c r="G48" s="33"/>
      <c r="H48" s="33"/>
      <c r="I48" s="37"/>
      <c r="J48" s="18"/>
      <c r="K48" s="37"/>
      <c r="L48" s="34"/>
    </row>
    <row r="49" spans="1:16" ht="18.75" x14ac:dyDescent="0.3">
      <c r="A49" s="7" t="s">
        <v>19</v>
      </c>
      <c r="F49" s="18"/>
      <c r="G49" s="18"/>
      <c r="H49" s="18"/>
      <c r="I49" s="18"/>
      <c r="K49" s="18"/>
      <c r="L49" s="40"/>
    </row>
    <row r="50" spans="1:16" ht="15.75" thickBot="1" x14ac:dyDescent="0.3"/>
    <row r="51" spans="1:16" ht="15.75" thickBot="1" x14ac:dyDescent="0.3">
      <c r="A51" s="8" t="s">
        <v>22</v>
      </c>
      <c r="B51" s="8" t="s">
        <v>23</v>
      </c>
      <c r="C51" s="8" t="s">
        <v>24</v>
      </c>
      <c r="D51" s="8" t="s">
        <v>25</v>
      </c>
      <c r="E51" s="8" t="s">
        <v>26</v>
      </c>
      <c r="F51" s="8" t="s">
        <v>27</v>
      </c>
      <c r="G51" s="8" t="s">
        <v>28</v>
      </c>
      <c r="H51" s="8" t="s">
        <v>31</v>
      </c>
      <c r="I51" s="8" t="s">
        <v>32</v>
      </c>
    </row>
    <row r="52" spans="1:16" s="77" customFormat="1" ht="16.5" thickBot="1" x14ac:dyDescent="0.3">
      <c r="A52" s="26">
        <f>ROUND(152.6*'[2]Indexierung 2025 + Budget'!$B$15,1)</f>
        <v>158.6</v>
      </c>
      <c r="B52" s="26">
        <f>ROUND(125.2*'[2]Indexierung 2025 + Budget'!$B$15,1)</f>
        <v>130.1</v>
      </c>
      <c r="C52" s="26">
        <f>ROUND(180.6*'[2]Indexierung 2025 + Budget'!$B$15,1)</f>
        <v>187.7</v>
      </c>
      <c r="D52" s="26">
        <f>ROUND(230.9*'[2]Indexierung 2025 + Budget'!$B$15,1)</f>
        <v>239.9</v>
      </c>
      <c r="E52" s="26">
        <f>ROUND(118.7*'[2]Indexierung 2025 + Budget'!$B$15,1)</f>
        <v>123.3</v>
      </c>
      <c r="F52" s="26">
        <f>ROUND(60.1*'[2]Indexierung 2025 + Budget'!$B$15,1)</f>
        <v>62.4</v>
      </c>
      <c r="G52" s="26">
        <f>ROUND(144.3*'[2]Indexierung 2025 + Budget'!$B$15,1)</f>
        <v>149.9</v>
      </c>
      <c r="H52" s="26">
        <f>ROUND(240.6*'[2]Indexierung 2025 + Budget'!$B$15,1)</f>
        <v>250</v>
      </c>
      <c r="I52" s="26">
        <f>ROUND(157.6*'[2]Indexierung 2025 + Budget'!$B$15,1)</f>
        <v>163.80000000000001</v>
      </c>
    </row>
    <row r="53" spans="1:16" ht="16.5" thickBot="1" x14ac:dyDescent="0.3">
      <c r="A53" s="26">
        <v>185</v>
      </c>
      <c r="B53" s="26">
        <v>156.5</v>
      </c>
      <c r="C53" s="8" t="s">
        <v>35</v>
      </c>
      <c r="D53" s="8" t="s">
        <v>36</v>
      </c>
      <c r="E53" s="8" t="s">
        <v>37</v>
      </c>
      <c r="F53" s="24"/>
      <c r="H53" s="8" t="s">
        <v>39</v>
      </c>
    </row>
    <row r="54" spans="1:16" s="77" customFormat="1" ht="16.5" thickBot="1" x14ac:dyDescent="0.3">
      <c r="B54" s="8" t="s">
        <v>34</v>
      </c>
      <c r="C54" s="26">
        <f>ROUND(C52*1.3,1)</f>
        <v>244</v>
      </c>
      <c r="D54" s="26">
        <f>ROUND(D52*1.3,1)</f>
        <v>311.89999999999998</v>
      </c>
      <c r="E54" s="26">
        <f>ROUND(E52*1.3,1)</f>
        <v>160.30000000000001</v>
      </c>
      <c r="G54" s="78"/>
      <c r="H54" s="26">
        <f>ROUND(H52*1.3,1)</f>
        <v>325</v>
      </c>
    </row>
    <row r="55" spans="1:16" ht="16.5" thickBot="1" x14ac:dyDescent="0.3">
      <c r="A55" s="41"/>
      <c r="B55" s="26">
        <f>ROUND(B52*1.3,1)</f>
        <v>169.1</v>
      </c>
      <c r="C55" s="41"/>
      <c r="D55" s="41"/>
      <c r="E55" s="41"/>
      <c r="F55" s="41"/>
      <c r="G55" s="41"/>
      <c r="H55" s="41"/>
      <c r="I55" s="41"/>
    </row>
    <row r="56" spans="1:16" ht="16.5" thickBot="1" x14ac:dyDescent="0.3">
      <c r="A56" s="41"/>
      <c r="B56" s="26">
        <v>195.5</v>
      </c>
      <c r="C56" s="41"/>
      <c r="D56" s="41"/>
      <c r="E56" s="41"/>
      <c r="F56" s="41"/>
      <c r="G56" s="41"/>
      <c r="H56" s="41"/>
      <c r="I56" s="41"/>
    </row>
    <row r="57" spans="1:16" x14ac:dyDescent="0.25">
      <c r="C57" s="28"/>
      <c r="D57" s="28"/>
      <c r="E57" s="28"/>
      <c r="F57" s="28"/>
      <c r="J57" s="21"/>
    </row>
    <row r="58" spans="1:16" ht="21" x14ac:dyDescent="0.35">
      <c r="A58" s="82" t="s">
        <v>42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</row>
    <row r="59" spans="1:16" ht="21" x14ac:dyDescent="0.35">
      <c r="A59" s="6"/>
      <c r="B59" s="6"/>
      <c r="C59" s="6"/>
      <c r="D59" s="6"/>
      <c r="E59" s="6"/>
    </row>
    <row r="60" spans="1:16" ht="21" x14ac:dyDescent="0.35">
      <c r="A60" s="7" t="s">
        <v>1</v>
      </c>
      <c r="B60" s="6"/>
      <c r="C60" s="6"/>
      <c r="D60" s="6"/>
      <c r="E60" s="6"/>
    </row>
    <row r="61" spans="1:16" ht="15.75" thickBot="1" x14ac:dyDescent="0.3"/>
    <row r="62" spans="1:16" ht="15.75" thickBot="1" x14ac:dyDescent="0.3">
      <c r="A62" s="8" t="s">
        <v>4</v>
      </c>
      <c r="B62" s="8" t="s">
        <v>8</v>
      </c>
      <c r="C62" s="8" t="s">
        <v>17</v>
      </c>
    </row>
    <row r="63" spans="1:16" x14ac:dyDescent="0.25">
      <c r="A63" s="11">
        <f>ROUND(70.6*'[2]Indexierung 2025 + Budget'!$B$15,1)</f>
        <v>73.400000000000006</v>
      </c>
      <c r="B63" s="11">
        <f>ROUND(133.6*'[2]Indexierung 2025 + Budget'!$B$15,1)</f>
        <v>138.80000000000001</v>
      </c>
      <c r="C63" s="11">
        <f>ROUND(86.4*'[2]Indexierung 2025 + Budget'!$B$15,1)</f>
        <v>89.8</v>
      </c>
    </row>
    <row r="64" spans="1:16" s="31" customFormat="1" ht="15.75" thickBot="1" x14ac:dyDescent="0.3">
      <c r="A64" s="15">
        <f>ROUND(8.5*'[2]Indexierung 2025 + Budget'!$B$11,1)</f>
        <v>8.8000000000000007</v>
      </c>
      <c r="B64" s="15">
        <f>ROUND(28*'[2]Indexierung 2025 + Budget'!$B$11,1)</f>
        <v>29.1</v>
      </c>
      <c r="C64" s="15">
        <f>ROUND(9.4*'[2]Indexierung 2025 + Budget'!$B$11,1)</f>
        <v>9.8000000000000007</v>
      </c>
      <c r="D64" s="30"/>
      <c r="E64" s="30"/>
      <c r="F64" s="30"/>
      <c r="G64" s="5"/>
      <c r="H64" s="5"/>
      <c r="I64" s="30"/>
      <c r="J64" s="5"/>
    </row>
    <row r="65" spans="1:16" ht="16.5" thickBot="1" x14ac:dyDescent="0.3">
      <c r="A65" s="17">
        <f>SUM(A63:A64)</f>
        <v>82.2</v>
      </c>
      <c r="B65" s="17">
        <f>SUM(B63:B64)</f>
        <v>167.9</v>
      </c>
      <c r="C65" s="17">
        <f>SUM(C63:C64)</f>
        <v>99.6</v>
      </c>
      <c r="D65" s="32"/>
      <c r="E65" s="32"/>
      <c r="F65" s="32"/>
      <c r="G65" s="18"/>
      <c r="H65" s="18"/>
      <c r="I65" s="32"/>
      <c r="J65" s="18"/>
    </row>
    <row r="66" spans="1:16" x14ac:dyDescent="0.25">
      <c r="A66" s="33"/>
      <c r="B66" s="34"/>
      <c r="D66" s="36"/>
      <c r="E66" s="37"/>
      <c r="F66" s="33"/>
      <c r="G66" s="33"/>
      <c r="H66" s="37"/>
      <c r="I66" s="18"/>
      <c r="J66" s="37"/>
      <c r="K66" s="34"/>
    </row>
    <row r="67" spans="1:16" ht="18.75" x14ac:dyDescent="0.3">
      <c r="A67" s="7" t="s">
        <v>19</v>
      </c>
      <c r="F67" s="18"/>
      <c r="G67" s="18"/>
      <c r="H67" s="18"/>
      <c r="I67" s="18"/>
      <c r="J67" s="39"/>
      <c r="K67" s="18"/>
      <c r="L67" s="40"/>
    </row>
    <row r="68" spans="1:16" ht="15.75" thickBot="1" x14ac:dyDescent="0.3"/>
    <row r="69" spans="1:16" ht="15.75" thickBot="1" x14ac:dyDescent="0.3">
      <c r="A69" s="8" t="s">
        <v>22</v>
      </c>
      <c r="B69" s="8" t="s">
        <v>23</v>
      </c>
      <c r="C69" s="8" t="s">
        <v>24</v>
      </c>
      <c r="D69" s="8" t="s">
        <v>25</v>
      </c>
      <c r="E69" s="8" t="s">
        <v>26</v>
      </c>
      <c r="F69" s="8" t="s">
        <v>27</v>
      </c>
      <c r="G69" s="8" t="s">
        <v>28</v>
      </c>
      <c r="H69" s="8" t="s">
        <v>31</v>
      </c>
      <c r="I69" s="8" t="s">
        <v>32</v>
      </c>
    </row>
    <row r="70" spans="1:16" s="77" customFormat="1" ht="16.5" thickBot="1" x14ac:dyDescent="0.3">
      <c r="A70" s="26">
        <f>ROUND(150.8*'[2]Indexierung 2025 + Budget'!$B$15,1)</f>
        <v>156.69999999999999</v>
      </c>
      <c r="B70" s="26">
        <f>ROUND(124.3*'[2]Indexierung 2025 + Budget'!$B$15,1)</f>
        <v>129.19999999999999</v>
      </c>
      <c r="C70" s="26">
        <f>ROUND(179.1*'[2]Indexierung 2025 + Budget'!$B$15,1)</f>
        <v>186.1</v>
      </c>
      <c r="D70" s="26">
        <f>ROUND(229.1*'[2]Indexierung 2025 + Budget'!$B$15,1)</f>
        <v>238.1</v>
      </c>
      <c r="E70" s="26">
        <f>ROUND(117.8*'[2]Indexierung 2025 + Budget'!$B$15,1)</f>
        <v>122.4</v>
      </c>
      <c r="F70" s="26">
        <f>ROUND(59.7*'[2]Indexierung 2025 + Budget'!$B$15,1)</f>
        <v>62</v>
      </c>
      <c r="G70" s="26">
        <f>ROUND(143.1*'[2]Indexierung 2025 + Budget'!$B$15,1)</f>
        <v>148.69999999999999</v>
      </c>
      <c r="H70" s="26">
        <f>ROUND(238.8*'[2]Indexierung 2025 + Budget'!$B$15,1)</f>
        <v>248.1</v>
      </c>
      <c r="I70" s="26">
        <f>ROUND(155.8*'[2]Indexierung 2025 + Budget'!$B$15,1)</f>
        <v>161.9</v>
      </c>
    </row>
    <row r="71" spans="1:16" ht="16.5" thickBot="1" x14ac:dyDescent="0.3">
      <c r="A71" s="26">
        <v>183.1</v>
      </c>
      <c r="B71" s="26">
        <v>155.6</v>
      </c>
      <c r="C71" s="8" t="s">
        <v>35</v>
      </c>
      <c r="D71" s="8" t="s">
        <v>36</v>
      </c>
      <c r="E71" s="8" t="s">
        <v>37</v>
      </c>
      <c r="F71" s="24"/>
      <c r="H71" s="8" t="s">
        <v>39</v>
      </c>
    </row>
    <row r="72" spans="1:16" s="77" customFormat="1" ht="16.5" thickBot="1" x14ac:dyDescent="0.3">
      <c r="B72" s="8" t="s">
        <v>34</v>
      </c>
      <c r="C72" s="26">
        <f>ROUND(C70*1.3,1)</f>
        <v>241.9</v>
      </c>
      <c r="D72" s="26">
        <f>ROUND(D70*1.3,1)</f>
        <v>309.5</v>
      </c>
      <c r="E72" s="26">
        <f>ROUND(E70*1.3,1)</f>
        <v>159.1</v>
      </c>
      <c r="G72" s="78"/>
      <c r="H72" s="26">
        <f>ROUND(H70*1.3,1)</f>
        <v>322.5</v>
      </c>
    </row>
    <row r="73" spans="1:16" ht="16.5" thickBot="1" x14ac:dyDescent="0.3">
      <c r="A73" s="41"/>
      <c r="B73" s="26">
        <f>ROUND(B70*1.3,1)</f>
        <v>168</v>
      </c>
      <c r="C73" s="41"/>
      <c r="D73" s="41"/>
      <c r="E73" s="41"/>
      <c r="F73" s="41"/>
      <c r="G73" s="41"/>
      <c r="H73" s="41"/>
      <c r="I73" s="41"/>
    </row>
    <row r="74" spans="1:16" ht="16.5" thickBot="1" x14ac:dyDescent="0.3">
      <c r="A74" s="41"/>
      <c r="B74" s="26">
        <v>194.4</v>
      </c>
      <c r="C74" s="41"/>
      <c r="D74" s="41"/>
      <c r="E74" s="41"/>
      <c r="F74" s="41"/>
      <c r="G74" s="41"/>
      <c r="H74" s="41"/>
      <c r="I74" s="41"/>
    </row>
    <row r="75" spans="1:16" x14ac:dyDescent="0.25">
      <c r="C75" s="28"/>
      <c r="D75" s="28"/>
      <c r="E75" s="28"/>
      <c r="F75" s="28"/>
      <c r="J75" s="21"/>
    </row>
    <row r="76" spans="1:16" ht="21" x14ac:dyDescent="0.35">
      <c r="A76" s="82" t="s">
        <v>43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</row>
    <row r="77" spans="1:16" ht="21" x14ac:dyDescent="0.35">
      <c r="A77" s="6"/>
      <c r="B77" s="6"/>
      <c r="C77" s="6"/>
      <c r="D77" s="6"/>
      <c r="E77" s="6"/>
    </row>
    <row r="78" spans="1:16" ht="21" x14ac:dyDescent="0.35">
      <c r="A78" s="7" t="s">
        <v>1</v>
      </c>
      <c r="B78" s="6"/>
      <c r="C78" s="6"/>
      <c r="D78" s="6"/>
      <c r="E78" s="6"/>
    </row>
    <row r="79" spans="1:16" ht="15.75" thickBot="1" x14ac:dyDescent="0.3"/>
    <row r="80" spans="1:16" ht="15.75" thickBot="1" x14ac:dyDescent="0.3">
      <c r="A80" s="8" t="s">
        <v>4</v>
      </c>
    </row>
    <row r="81" spans="1:16" x14ac:dyDescent="0.25">
      <c r="A81" s="11">
        <f>ROUND(69.9*'[2]Indexierung 2025 + Budget'!$B$15,1)</f>
        <v>72.599999999999994</v>
      </c>
    </row>
    <row r="82" spans="1:16" s="31" customFormat="1" ht="15.75" thickBot="1" x14ac:dyDescent="0.3">
      <c r="A82" s="15">
        <f>ROUND(8.5*'[2]Indexierung 2025 + Budget'!$B$11,1)</f>
        <v>8.8000000000000007</v>
      </c>
      <c r="B82" s="30"/>
      <c r="C82" s="30"/>
      <c r="D82" s="30"/>
      <c r="E82" s="5"/>
      <c r="F82" s="5"/>
      <c r="G82" s="30"/>
      <c r="H82" s="5"/>
    </row>
    <row r="83" spans="1:16" ht="16.5" thickBot="1" x14ac:dyDescent="0.3">
      <c r="A83" s="17">
        <f>SUM(A81:A82)</f>
        <v>81.399999999999991</v>
      </c>
      <c r="B83" s="32"/>
      <c r="C83" s="32"/>
      <c r="D83" s="32"/>
      <c r="E83" s="18"/>
      <c r="F83" s="18"/>
      <c r="G83" s="32"/>
      <c r="H83" s="18"/>
    </row>
    <row r="84" spans="1:16" x14ac:dyDescent="0.25">
      <c r="A84" s="33"/>
      <c r="B84" s="34"/>
      <c r="C84" s="38"/>
      <c r="D84" s="38"/>
      <c r="E84" s="36"/>
      <c r="F84" s="37"/>
      <c r="G84" s="33"/>
      <c r="H84" s="33"/>
      <c r="I84" s="37"/>
      <c r="J84" s="18"/>
      <c r="K84" s="37"/>
      <c r="L84" s="34"/>
    </row>
    <row r="85" spans="1:16" ht="18.75" x14ac:dyDescent="0.3">
      <c r="A85" s="7" t="s">
        <v>19</v>
      </c>
      <c r="F85" s="18"/>
      <c r="G85" s="18"/>
      <c r="H85" s="18"/>
      <c r="I85" s="18"/>
      <c r="J85" s="39"/>
      <c r="K85" s="18"/>
      <c r="L85" s="40"/>
    </row>
    <row r="86" spans="1:16" ht="15.75" thickBot="1" x14ac:dyDescent="0.3"/>
    <row r="87" spans="1:16" ht="15.75" thickBot="1" x14ac:dyDescent="0.3">
      <c r="A87" s="8" t="s">
        <v>22</v>
      </c>
      <c r="B87" s="8" t="s">
        <v>23</v>
      </c>
      <c r="C87" s="8" t="s">
        <v>24</v>
      </c>
      <c r="D87" s="8" t="s">
        <v>25</v>
      </c>
      <c r="E87" s="8" t="s">
        <v>26</v>
      </c>
      <c r="F87" s="8" t="s">
        <v>27</v>
      </c>
      <c r="G87" s="8" t="s">
        <v>28</v>
      </c>
      <c r="H87" s="8" t="s">
        <v>31</v>
      </c>
      <c r="I87" s="8" t="s">
        <v>32</v>
      </c>
    </row>
    <row r="88" spans="1:16" s="77" customFormat="1" ht="16.5" thickBot="1" x14ac:dyDescent="0.3">
      <c r="A88" s="26">
        <f>ROUND(149.4*'[2]Indexierung 2025 + Budget'!$B$15,1)</f>
        <v>155.19999999999999</v>
      </c>
      <c r="B88" s="26">
        <f>ROUND(123.3*'[2]Indexierung 2025 + Budget'!$B$15,1)</f>
        <v>128.1</v>
      </c>
      <c r="C88" s="26">
        <f>ROUND(177.7*'[2]Indexierung 2025 + Budget'!$B$15,1)</f>
        <v>184.6</v>
      </c>
      <c r="D88" s="26">
        <f>ROUND(227*'[2]Indexierung 2025 + Budget'!$B$15,1)</f>
        <v>235.9</v>
      </c>
      <c r="E88" s="26">
        <f>ROUND(116.6*'[2]Indexierung 2025 + Budget'!$B$15,1)</f>
        <v>121.2</v>
      </c>
      <c r="F88" s="26">
        <f>ROUND(59.1*'[2]Indexierung 2025 + Budget'!$B$15,1)</f>
        <v>61.4</v>
      </c>
      <c r="G88" s="26">
        <f>ROUND(141.7*'[2]Indexierung 2025 + Budget'!$B$15,1)</f>
        <v>147.19999999999999</v>
      </c>
      <c r="H88" s="26">
        <f>ROUND(236.7*'[2]Indexierung 2025 + Budget'!$B$15,1)</f>
        <v>246</v>
      </c>
      <c r="I88" s="26">
        <f>ROUND(154.4*'[2]Indexierung 2025 + Budget'!$B$15,1)</f>
        <v>160.4</v>
      </c>
    </row>
    <row r="89" spans="1:16" ht="16.5" thickBot="1" x14ac:dyDescent="0.3">
      <c r="A89" s="26">
        <v>181.6</v>
      </c>
      <c r="B89" s="26">
        <v>154.5</v>
      </c>
      <c r="C89" s="8" t="s">
        <v>35</v>
      </c>
      <c r="D89" s="8" t="s">
        <v>36</v>
      </c>
      <c r="E89" s="8" t="s">
        <v>37</v>
      </c>
      <c r="F89" s="24"/>
      <c r="H89" s="8" t="s">
        <v>39</v>
      </c>
    </row>
    <row r="90" spans="1:16" s="77" customFormat="1" ht="16.5" thickBot="1" x14ac:dyDescent="0.3">
      <c r="B90" s="8" t="s">
        <v>34</v>
      </c>
      <c r="C90" s="26">
        <f>ROUND(C88*1.3,1)</f>
        <v>240</v>
      </c>
      <c r="D90" s="26">
        <f>ROUND(D88*1.3,1)</f>
        <v>306.7</v>
      </c>
      <c r="E90" s="26">
        <f>ROUND(E88*1.3,1)</f>
        <v>157.6</v>
      </c>
      <c r="F90" s="80"/>
      <c r="G90" s="78"/>
      <c r="H90" s="26">
        <f>ROUND(H88*1.3,1)</f>
        <v>319.8</v>
      </c>
    </row>
    <row r="91" spans="1:16" ht="16.5" thickBot="1" x14ac:dyDescent="0.3">
      <c r="A91" s="41"/>
      <c r="B91" s="26">
        <f>ROUND(B88*1.3,1)</f>
        <v>166.5</v>
      </c>
      <c r="C91" s="41"/>
      <c r="D91" s="41"/>
      <c r="E91" s="41"/>
      <c r="F91" s="41"/>
      <c r="G91" s="41"/>
      <c r="H91" s="41"/>
      <c r="I91" s="41"/>
    </row>
    <row r="92" spans="1:16" ht="16.5" thickBot="1" x14ac:dyDescent="0.3">
      <c r="A92" s="41"/>
      <c r="B92" s="26">
        <v>192.9</v>
      </c>
      <c r="C92" s="41"/>
      <c r="D92" s="41"/>
      <c r="E92" s="41"/>
      <c r="F92" s="41"/>
      <c r="G92" s="41"/>
      <c r="H92" s="41"/>
      <c r="I92" s="41"/>
    </row>
    <row r="93" spans="1:16" x14ac:dyDescent="0.25">
      <c r="C93" s="28"/>
      <c r="D93" s="28"/>
      <c r="E93" s="28"/>
      <c r="F93" s="28"/>
      <c r="K93" s="21"/>
    </row>
    <row r="94" spans="1:16" ht="21" x14ac:dyDescent="0.35">
      <c r="A94" s="82" t="s">
        <v>44</v>
      </c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</row>
    <row r="95" spans="1:16" ht="21" x14ac:dyDescent="0.35">
      <c r="A95" s="6"/>
      <c r="B95" s="6"/>
      <c r="C95" s="6"/>
      <c r="D95" s="6"/>
      <c r="E95" s="6"/>
    </row>
    <row r="96" spans="1:16" ht="18.75" x14ac:dyDescent="0.3">
      <c r="A96" s="7" t="s">
        <v>19</v>
      </c>
      <c r="E96" s="18"/>
      <c r="F96" s="18"/>
      <c r="G96" s="18"/>
      <c r="H96" s="18"/>
      <c r="I96" s="39"/>
      <c r="J96" s="18"/>
    </row>
    <row r="97" spans="1:16" ht="15.75" thickBot="1" x14ac:dyDescent="0.3"/>
    <row r="98" spans="1:16" ht="15.75" thickBot="1" x14ac:dyDescent="0.3">
      <c r="A98" s="8" t="s">
        <v>23</v>
      </c>
      <c r="B98" s="8" t="s">
        <v>26</v>
      </c>
      <c r="C98" s="8" t="s">
        <v>27</v>
      </c>
      <c r="D98" s="8" t="s">
        <v>31</v>
      </c>
    </row>
    <row r="99" spans="1:16" s="77" customFormat="1" ht="16.5" thickBot="1" x14ac:dyDescent="0.3">
      <c r="A99" s="26">
        <f>ROUND(122.1*'[2]Indexierung 2025 + Budget'!$B$15,1)</f>
        <v>126.9</v>
      </c>
      <c r="B99" s="26">
        <f>ROUND(115.9*'[2]Indexierung 2025 + Budget'!$B$15,1)</f>
        <v>120.4</v>
      </c>
      <c r="C99" s="26">
        <f>ROUND(58.5*'[2]Indexierung 2025 + Budget'!$B$15,1)</f>
        <v>60.8</v>
      </c>
      <c r="D99" s="26">
        <f>ROUND(235*'[2]Indexierung 2025 + Budget'!$B$15,1)</f>
        <v>244.2</v>
      </c>
    </row>
    <row r="100" spans="1:16" ht="16.5" thickBot="1" x14ac:dyDescent="0.3">
      <c r="A100" s="26">
        <v>153.30000000000001</v>
      </c>
      <c r="B100" s="8" t="s">
        <v>37</v>
      </c>
      <c r="C100" s="24"/>
      <c r="D100" s="8" t="s">
        <v>39</v>
      </c>
    </row>
    <row r="101" spans="1:16" ht="16.5" thickBot="1" x14ac:dyDescent="0.3">
      <c r="A101" s="8" t="s">
        <v>34</v>
      </c>
      <c r="B101" s="26">
        <f>ROUND(B99*1.3,1)</f>
        <v>156.5</v>
      </c>
      <c r="C101" s="19"/>
      <c r="D101" s="26">
        <f>ROUND(D99*1.3,1)</f>
        <v>317.5</v>
      </c>
      <c r="E101" s="27"/>
    </row>
    <row r="102" spans="1:16" ht="16.5" thickBot="1" x14ac:dyDescent="0.3">
      <c r="A102" s="26">
        <f>ROUND(A99*1.3,1)</f>
        <v>165</v>
      </c>
      <c r="B102" s="41"/>
      <c r="C102" s="41"/>
      <c r="D102" s="41"/>
      <c r="E102" s="41"/>
      <c r="F102" s="41"/>
      <c r="G102" s="41"/>
      <c r="H102" s="41"/>
      <c r="I102" s="41"/>
    </row>
    <row r="103" spans="1:16" ht="16.5" thickBot="1" x14ac:dyDescent="0.3">
      <c r="A103" s="26">
        <v>191.4</v>
      </c>
      <c r="B103" s="41"/>
      <c r="C103" s="41"/>
      <c r="D103" s="41"/>
      <c r="E103" s="41"/>
      <c r="F103" s="41"/>
      <c r="G103" s="41"/>
      <c r="H103" s="41"/>
      <c r="I103" s="41"/>
    </row>
    <row r="104" spans="1:16" x14ac:dyDescent="0.25">
      <c r="C104" s="28"/>
      <c r="D104" s="28"/>
      <c r="E104" s="28"/>
      <c r="F104" s="28"/>
      <c r="I104" s="21"/>
    </row>
    <row r="105" spans="1:16" ht="21" x14ac:dyDescent="0.35">
      <c r="A105" s="82" t="s">
        <v>45</v>
      </c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</row>
    <row r="106" spans="1:16" ht="21" x14ac:dyDescent="0.35">
      <c r="A106" s="6"/>
      <c r="B106" s="6"/>
      <c r="C106" s="6"/>
      <c r="D106" s="6"/>
      <c r="E106" s="6"/>
    </row>
    <row r="107" spans="1:16" ht="21" x14ac:dyDescent="0.35">
      <c r="A107" s="7" t="s">
        <v>1</v>
      </c>
      <c r="B107" s="6"/>
      <c r="C107" s="6"/>
      <c r="D107" s="6"/>
      <c r="E107" s="6"/>
    </row>
    <row r="108" spans="1:16" ht="15.75" thickBot="1" x14ac:dyDescent="0.3">
      <c r="L108" s="2" t="s">
        <v>2</v>
      </c>
      <c r="M108" s="2" t="s">
        <v>3</v>
      </c>
    </row>
    <row r="109" spans="1:16" ht="15.75" thickBot="1" x14ac:dyDescent="0.3">
      <c r="A109" s="8" t="s">
        <v>4</v>
      </c>
      <c r="B109" s="9" t="s">
        <v>5</v>
      </c>
      <c r="C109" s="8" t="s">
        <v>6</v>
      </c>
      <c r="D109" s="9" t="s">
        <v>7</v>
      </c>
      <c r="E109" s="8" t="s">
        <v>8</v>
      </c>
      <c r="F109" s="10" t="s">
        <v>9</v>
      </c>
      <c r="G109" s="8" t="s">
        <v>10</v>
      </c>
      <c r="H109" s="8" t="s">
        <v>11</v>
      </c>
      <c r="I109" s="8" t="s">
        <v>12</v>
      </c>
      <c r="J109" s="9" t="s">
        <v>13</v>
      </c>
      <c r="K109" s="8" t="s">
        <v>14</v>
      </c>
      <c r="L109" s="8" t="s">
        <v>15</v>
      </c>
      <c r="M109" s="8" t="s">
        <v>15</v>
      </c>
      <c r="N109" s="9" t="s">
        <v>16</v>
      </c>
      <c r="O109" s="8" t="s">
        <v>17</v>
      </c>
      <c r="P109" s="8" t="s">
        <v>18</v>
      </c>
    </row>
    <row r="110" spans="1:16" ht="16.5" thickBot="1" x14ac:dyDescent="0.3">
      <c r="A110" s="11">
        <f>ROUND(69.4*'[2]Indexierung 2025 + Budget'!$B$15,1)</f>
        <v>72.099999999999994</v>
      </c>
      <c r="B110" s="11">
        <f>ROUND(81.1*'[2]Indexierung 2025 + Budget'!$B$15,1)</f>
        <v>84.3</v>
      </c>
      <c r="C110" s="11">
        <f>ROUND(43.9*'[2]Indexierung 2025 + Budget'!$B$15,1)</f>
        <v>45.6</v>
      </c>
      <c r="D110" s="11">
        <f>ROUND(60.6*'[2]Indexierung 2025 + Budget'!$B$15,1)</f>
        <v>63</v>
      </c>
      <c r="E110" s="11">
        <f>ROUND(133.1*'[2]Indexierung 2025 + Budget'!$B$15,1)</f>
        <v>138.30000000000001</v>
      </c>
      <c r="F110" s="11">
        <f>ROUND(90*'[2]Indexierung 2025 + Budget'!$B$15,1)</f>
        <v>93.5</v>
      </c>
      <c r="G110" s="26">
        <f>ROUND(118.6*'[2]Indexierung 2025 + Budget'!$B$15,1)</f>
        <v>123.2</v>
      </c>
      <c r="H110" s="26">
        <f>ROUND(79*'[2]Indexierung 2025 + Budget'!$B$15,1)</f>
        <v>82.1</v>
      </c>
      <c r="I110" s="11">
        <f>ROUND(98.3*'[2]Indexierung 2025 + Budget'!$B$15,1)</f>
        <v>102.1</v>
      </c>
      <c r="J110" s="11">
        <f>ROUND(96.6*'[2]Indexierung 2025 + Budget'!$B$15,1)</f>
        <v>100.4</v>
      </c>
      <c r="K110" s="11">
        <f>ROUND(98.3*'[2]Indexierung 2025 + Budget'!$B$15,1)</f>
        <v>102.1</v>
      </c>
      <c r="L110" s="11">
        <f>ROUND(76.8*'[2]Indexierung 2025 + Budget'!$B$15,1)</f>
        <v>79.8</v>
      </c>
      <c r="M110" s="12">
        <f>ROUND(47.2*'[2]Indexierung 2025 + Budget'!$B$15,1)</f>
        <v>49</v>
      </c>
      <c r="N110" s="45"/>
      <c r="O110" s="11">
        <f>ROUND(85.8*'[2]Indexierung 2025 + Budget'!$B$15,1)</f>
        <v>89.2</v>
      </c>
      <c r="P110" s="11">
        <f>ROUND(60.6*'[2]Indexierung 2025 + Budget'!$B$15,1)</f>
        <v>63</v>
      </c>
    </row>
    <row r="111" spans="1:16" s="14" customFormat="1" ht="16.5" thickBot="1" x14ac:dyDescent="0.3">
      <c r="A111" s="15">
        <f>ROUND(8.4*'[2]Indexierung 2025 + Budget'!$B$11,1)</f>
        <v>8.6999999999999993</v>
      </c>
      <c r="B111" s="15">
        <f>ROUND(9.5*'[2]Indexierung 2025 + Budget'!$B$11,1)</f>
        <v>9.9</v>
      </c>
      <c r="C111" s="15">
        <f>ROUND(6.6*'[2]Indexierung 2025 + Budget'!$B$11,1)</f>
        <v>6.9</v>
      </c>
      <c r="D111" s="15">
        <f>ROUND(7.3*'[2]Indexierung 2025 + Budget'!$B$11,1)</f>
        <v>7.6</v>
      </c>
      <c r="E111" s="15">
        <f>ROUND(28*'[2]Indexierung 2025 + Budget'!$B$11,1)</f>
        <v>29.1</v>
      </c>
      <c r="F111" s="15">
        <f>ROUND(12.9*'[2]Indexierung 2025 + Budget'!$B$11,1)</f>
        <v>13.4</v>
      </c>
      <c r="G111" s="16"/>
      <c r="H111" s="16"/>
      <c r="I111" s="15">
        <f>ROUND(14.9*'[2]Indexierung 2025 + Budget'!$B$11,1)</f>
        <v>15.5</v>
      </c>
      <c r="J111" s="15">
        <f>ROUND(14.6*'[2]Indexierung 2025 + Budget'!$B$11,1)</f>
        <v>15.2</v>
      </c>
      <c r="K111" s="15">
        <f>ROUND(14.9*'[2]Indexierung 2025 + Budget'!$B$11,1)</f>
        <v>15.5</v>
      </c>
      <c r="L111" s="15">
        <f>ROUND(9.9*'[2]Indexierung 2025 + Budget'!$B$11,1)</f>
        <v>10.3</v>
      </c>
      <c r="M111" s="11"/>
      <c r="N111" s="26">
        <f>ROUND(65.6*'[2]Indexierung 2025 + Budget'!$B$15,1)</f>
        <v>68.2</v>
      </c>
      <c r="O111" s="15">
        <f>ROUND(9.4*'[2]Indexierung 2025 + Budget'!$B$11,1)</f>
        <v>9.8000000000000007</v>
      </c>
      <c r="P111" s="15">
        <f>ROUND(7.3*'[2]Indexierung 2025 + Budget'!$B$11,1)</f>
        <v>7.6</v>
      </c>
    </row>
    <row r="112" spans="1:16" s="14" customFormat="1" ht="16.5" thickBot="1" x14ac:dyDescent="0.3">
      <c r="A112" s="17">
        <f t="shared" ref="A112:F112" si="1">SUM(A110:A111)</f>
        <v>80.8</v>
      </c>
      <c r="B112" s="17">
        <f t="shared" si="1"/>
        <v>94.2</v>
      </c>
      <c r="C112" s="17">
        <f t="shared" si="1"/>
        <v>52.5</v>
      </c>
      <c r="D112" s="17">
        <f t="shared" si="1"/>
        <v>70.599999999999994</v>
      </c>
      <c r="E112" s="17">
        <f t="shared" si="1"/>
        <v>167.4</v>
      </c>
      <c r="F112" s="17">
        <f t="shared" si="1"/>
        <v>106.9</v>
      </c>
      <c r="I112" s="17">
        <f>SUM(I110:I111)</f>
        <v>117.6</v>
      </c>
      <c r="J112" s="17">
        <f>SUM(J110:J111)</f>
        <v>115.60000000000001</v>
      </c>
      <c r="K112" s="17">
        <f>SUM(K110:K111)</f>
        <v>117.6</v>
      </c>
      <c r="L112" s="17">
        <f>SUM(L110:L111)</f>
        <v>90.1</v>
      </c>
      <c r="M112" s="17">
        <f>SUM(M110:M111)</f>
        <v>49</v>
      </c>
      <c r="N112" s="32"/>
      <c r="O112" s="17">
        <f>SUM(O110:O111)</f>
        <v>99</v>
      </c>
      <c r="P112" s="17">
        <f>SUM(P110:P111)</f>
        <v>70.599999999999994</v>
      </c>
    </row>
    <row r="113" spans="1:16" s="14" customFormat="1" ht="15.75" x14ac:dyDescent="0.25">
      <c r="A113" s="41">
        <v>0.75</v>
      </c>
      <c r="B113" s="41">
        <v>0.9</v>
      </c>
      <c r="C113" s="41">
        <v>0</v>
      </c>
      <c r="D113" s="41">
        <v>0.3</v>
      </c>
      <c r="E113" s="41">
        <v>0.8</v>
      </c>
      <c r="F113" s="41">
        <v>1</v>
      </c>
      <c r="G113" s="41">
        <v>1</v>
      </c>
      <c r="H113" s="41">
        <v>1</v>
      </c>
      <c r="I113" s="41">
        <v>1</v>
      </c>
      <c r="J113" s="20">
        <f>J110+31.6*'[2]Indexierung 2025 + Budget'!$B$11</f>
        <v>133.26400000000001</v>
      </c>
      <c r="K113" s="41">
        <v>1</v>
      </c>
      <c r="L113" s="41">
        <v>1</v>
      </c>
      <c r="M113" s="41"/>
      <c r="N113" s="41">
        <v>1</v>
      </c>
      <c r="O113" s="41">
        <v>0.8</v>
      </c>
      <c r="P113" s="41">
        <v>0.3</v>
      </c>
    </row>
    <row r="114" spans="1:16" s="14" customFormat="1" ht="16.5" thickBot="1" x14ac:dyDescent="0.3">
      <c r="A114" s="41"/>
      <c r="B114" s="41"/>
      <c r="C114" s="41"/>
      <c r="D114" s="41"/>
      <c r="E114" s="41"/>
      <c r="F114" s="41"/>
      <c r="G114" s="41"/>
      <c r="H114" s="41"/>
      <c r="I114" s="41"/>
      <c r="J114" s="46" t="s">
        <v>46</v>
      </c>
      <c r="K114" s="41"/>
      <c r="L114" s="41"/>
      <c r="M114" s="41"/>
      <c r="N114" s="41"/>
      <c r="O114" s="41"/>
      <c r="P114" s="41"/>
    </row>
    <row r="115" spans="1:16" ht="18.75" x14ac:dyDescent="0.3">
      <c r="A115" s="7" t="s">
        <v>19</v>
      </c>
      <c r="J115" s="41">
        <v>0.85</v>
      </c>
      <c r="K115" s="41"/>
      <c r="L115" s="47"/>
    </row>
    <row r="116" spans="1:16" ht="15.75" thickBot="1" x14ac:dyDescent="0.3"/>
    <row r="117" spans="1:16" ht="15.75" thickBot="1" x14ac:dyDescent="0.3">
      <c r="A117" s="8" t="s">
        <v>21</v>
      </c>
      <c r="B117" s="8" t="s">
        <v>22</v>
      </c>
      <c r="C117" s="8" t="s">
        <v>23</v>
      </c>
      <c r="D117" s="8" t="s">
        <v>24</v>
      </c>
      <c r="E117" s="8" t="s">
        <v>25</v>
      </c>
      <c r="F117" s="8" t="s">
        <v>26</v>
      </c>
      <c r="G117" s="8" t="s">
        <v>27</v>
      </c>
      <c r="H117" s="8" t="s">
        <v>28</v>
      </c>
      <c r="I117" s="8" t="s">
        <v>29</v>
      </c>
      <c r="J117" s="8" t="s">
        <v>30</v>
      </c>
      <c r="K117" s="8" t="s">
        <v>31</v>
      </c>
      <c r="L117" s="8" t="s">
        <v>32</v>
      </c>
      <c r="M117" s="8" t="s">
        <v>33</v>
      </c>
    </row>
    <row r="118" spans="1:16" s="77" customFormat="1" ht="16.5" thickBot="1" x14ac:dyDescent="0.3">
      <c r="A118" s="26">
        <f>ROUND(339.2*'[2]Indexierung 2025 + Budget'!$B$15,1)</f>
        <v>352.5</v>
      </c>
      <c r="B118" s="26">
        <f>ROUND(147.8*'[2]Indexierung 2025 + Budget'!$B$15,1)</f>
        <v>153.6</v>
      </c>
      <c r="C118" s="26">
        <f>ROUND(121*'[2]Indexierung 2025 + Budget'!$B$15,1)</f>
        <v>125.7</v>
      </c>
      <c r="D118" s="26">
        <f>ROUND(176*'[2]Indexierung 2025 + Budget'!$B$15,1)</f>
        <v>182.9</v>
      </c>
      <c r="E118" s="26">
        <f>ROUND(225.2*'[2]Indexierung 2025 + Budget'!$B$15,1)</f>
        <v>234</v>
      </c>
      <c r="F118" s="26">
        <f>ROUND(114.8*'[2]Indexierung 2025 + Budget'!$B$15,1)</f>
        <v>119.3</v>
      </c>
      <c r="G118" s="26">
        <f>ROUND(58*'[2]Indexierung 2025 + Budget'!$B$15,1)</f>
        <v>60.3</v>
      </c>
      <c r="H118" s="26">
        <f>ROUND(140.6*'[2]Indexierung 2025 + Budget'!$B$15,1)</f>
        <v>146.1</v>
      </c>
      <c r="I118" s="26">
        <f>ROUND(87*'[2]Indexierung 2025 + Budget'!$B$15,1)</f>
        <v>90.4</v>
      </c>
      <c r="J118" s="26">
        <f>ROUND(173.8*'[2]Indexierung 2025 + Budget'!$B$15,1)</f>
        <v>180.6</v>
      </c>
      <c r="K118" s="26">
        <f>ROUND(232.9*'[2]Indexierung 2025 + Budget'!$B$15,1)</f>
        <v>242</v>
      </c>
      <c r="L118" s="26">
        <f>ROUND(152.5*'[2]Indexierung 2025 + Budget'!$B$15,1)</f>
        <v>158.5</v>
      </c>
      <c r="M118" s="26">
        <f>ROUND(357.5*'[2]Indexierung 2025 + Budget'!$B$15,1)</f>
        <v>371.5</v>
      </c>
    </row>
    <row r="119" spans="1:16" ht="16.5" thickBot="1" x14ac:dyDescent="0.3">
      <c r="B119" s="26">
        <v>180</v>
      </c>
      <c r="C119" s="26">
        <v>152.1</v>
      </c>
      <c r="D119" s="8" t="s">
        <v>35</v>
      </c>
      <c r="E119" s="8" t="s">
        <v>36</v>
      </c>
      <c r="F119" s="8" t="s">
        <v>37</v>
      </c>
      <c r="G119" s="24"/>
      <c r="I119" s="24"/>
      <c r="J119" s="8" t="s">
        <v>38</v>
      </c>
      <c r="K119" s="8" t="s">
        <v>39</v>
      </c>
    </row>
    <row r="120" spans="1:16" s="77" customFormat="1" ht="16.5" thickBot="1" x14ac:dyDescent="0.3">
      <c r="C120" s="8" t="s">
        <v>34</v>
      </c>
      <c r="D120" s="26">
        <f>ROUND(D118*1.3,1)</f>
        <v>237.8</v>
      </c>
      <c r="E120" s="26">
        <f>ROUND(E118*1.3,1)</f>
        <v>304.2</v>
      </c>
      <c r="F120" s="26">
        <f>ROUND(F118*1.3,1)</f>
        <v>155.1</v>
      </c>
      <c r="H120" s="78"/>
      <c r="J120" s="26">
        <f>ROUND(J118*1.3,1)</f>
        <v>234.8</v>
      </c>
      <c r="K120" s="26">
        <f>ROUND(K118*1.3,1)</f>
        <v>314.60000000000002</v>
      </c>
    </row>
    <row r="121" spans="1:16" ht="16.5" thickBot="1" x14ac:dyDescent="0.3">
      <c r="A121" s="41">
        <v>1</v>
      </c>
      <c r="B121" s="41">
        <v>0.75</v>
      </c>
      <c r="C121" s="26">
        <f>ROUND(C118*1.3,1)</f>
        <v>163.4</v>
      </c>
      <c r="D121" s="41">
        <v>0.75</v>
      </c>
      <c r="E121" s="41">
        <v>0.75</v>
      </c>
      <c r="F121" s="41">
        <v>0.7</v>
      </c>
      <c r="G121" s="41">
        <v>0.7</v>
      </c>
      <c r="H121" s="41">
        <v>0.75</v>
      </c>
      <c r="I121" s="48">
        <v>1</v>
      </c>
      <c r="J121" s="48">
        <v>1</v>
      </c>
      <c r="K121" s="41">
        <v>0.7</v>
      </c>
      <c r="L121" s="41">
        <v>0.75</v>
      </c>
      <c r="M121" s="41">
        <v>0.9</v>
      </c>
    </row>
    <row r="122" spans="1:16" ht="16.5" thickBot="1" x14ac:dyDescent="0.3">
      <c r="C122" s="26">
        <v>189.8</v>
      </c>
      <c r="I122" s="31"/>
    </row>
    <row r="123" spans="1:16" x14ac:dyDescent="0.25">
      <c r="C123" s="41">
        <v>0.7</v>
      </c>
      <c r="I123" s="31"/>
    </row>
    <row r="127" spans="1:16" x14ac:dyDescent="0.25">
      <c r="J127" s="23"/>
    </row>
  </sheetData>
  <mergeCells count="7">
    <mergeCell ref="A105:P105"/>
    <mergeCell ref="A2:P2"/>
    <mergeCell ref="A20:P20"/>
    <mergeCell ref="A39:P39"/>
    <mergeCell ref="A58:P58"/>
    <mergeCell ref="A76:P76"/>
    <mergeCell ref="A94:P94"/>
  </mergeCells>
  <pageMargins left="0.70866141732283472" right="0.70866141732283472" top="0.78740157480314965" bottom="0.78740157480314965" header="0.31496062992125984" footer="0.31496062992125984"/>
  <pageSetup paperSize="8" scale="75" orientation="portrait" r:id="rId1"/>
  <headerFooter>
    <oddHeader>&amp;C&amp;A</oddHeader>
    <oddFooter>&amp;LWirtschaftliche Angelegenheiten&amp;R&amp;P</oddFooter>
  </headerFooter>
  <rowBreaks count="1" manualBreakCount="1">
    <brk id="7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8"/>
  <sheetViews>
    <sheetView view="pageBreakPreview" topLeftCell="A19" zoomScale="60" zoomScaleNormal="100" workbookViewId="0">
      <selection activeCell="E34" sqref="E34"/>
    </sheetView>
  </sheetViews>
  <sheetFormatPr baseColWidth="10" defaultRowHeight="12.75" x14ac:dyDescent="0.2"/>
  <cols>
    <col min="1" max="1" width="72.5703125" bestFit="1" customWidth="1"/>
    <col min="2" max="2" width="16" bestFit="1" customWidth="1"/>
  </cols>
  <sheetData>
    <row r="1" spans="1:2" x14ac:dyDescent="0.2">
      <c r="A1" s="83" t="s">
        <v>48</v>
      </c>
      <c r="B1" s="84"/>
    </row>
    <row r="2" spans="1:2" ht="13.5" thickBot="1" x14ac:dyDescent="0.25">
      <c r="A2" s="85"/>
      <c r="B2" s="86"/>
    </row>
    <row r="3" spans="1:2" ht="15.75" thickBot="1" x14ac:dyDescent="0.3">
      <c r="A3" s="49"/>
      <c r="B3" s="49"/>
    </row>
    <row r="4" spans="1:2" ht="16.5" thickBot="1" x14ac:dyDescent="0.3">
      <c r="A4" s="50" t="s">
        <v>49</v>
      </c>
      <c r="B4" s="51" t="s">
        <v>50</v>
      </c>
    </row>
    <row r="5" spans="1:2" ht="15.75" x14ac:dyDescent="0.25">
      <c r="A5" s="52"/>
      <c r="B5" s="53"/>
    </row>
    <row r="6" spans="1:2" ht="15.75" x14ac:dyDescent="0.25">
      <c r="A6" s="54" t="s">
        <v>51</v>
      </c>
      <c r="B6" s="55" t="s">
        <v>52</v>
      </c>
    </row>
    <row r="7" spans="1:2" ht="15.75" x14ac:dyDescent="0.25">
      <c r="A7" s="56"/>
      <c r="B7" s="57"/>
    </row>
    <row r="8" spans="1:2" ht="15.75" x14ac:dyDescent="0.25">
      <c r="A8" s="54" t="s">
        <v>53</v>
      </c>
      <c r="B8" s="55" t="s">
        <v>54</v>
      </c>
    </row>
    <row r="9" spans="1:2" ht="15.75" x14ac:dyDescent="0.25">
      <c r="A9" s="56"/>
      <c r="B9" s="57"/>
    </row>
    <row r="10" spans="1:2" ht="15.75" x14ac:dyDescent="0.25">
      <c r="A10" s="54" t="s">
        <v>55</v>
      </c>
      <c r="B10" s="55" t="s">
        <v>56</v>
      </c>
    </row>
    <row r="11" spans="1:2" ht="15.75" x14ac:dyDescent="0.25">
      <c r="A11" s="56"/>
      <c r="B11" s="57"/>
    </row>
    <row r="12" spans="1:2" ht="16.5" thickBot="1" x14ac:dyDescent="0.3">
      <c r="A12" s="58" t="s">
        <v>57</v>
      </c>
      <c r="B12" s="59" t="s">
        <v>58</v>
      </c>
    </row>
    <row r="13" spans="1:2" ht="16.5" thickBot="1" x14ac:dyDescent="0.3">
      <c r="A13" s="49"/>
      <c r="B13" s="60"/>
    </row>
    <row r="14" spans="1:2" ht="16.5" thickBot="1" x14ac:dyDescent="0.3">
      <c r="A14" s="61" t="s">
        <v>59</v>
      </c>
      <c r="B14" s="62" t="s">
        <v>50</v>
      </c>
    </row>
    <row r="15" spans="1:2" ht="15.75" x14ac:dyDescent="0.25">
      <c r="A15" s="52"/>
      <c r="B15" s="57"/>
    </row>
    <row r="16" spans="1:2" ht="15.75" x14ac:dyDescent="0.25">
      <c r="A16" s="54" t="s">
        <v>60</v>
      </c>
      <c r="B16" s="55" t="s">
        <v>61</v>
      </c>
    </row>
    <row r="17" spans="1:2" ht="15.75" x14ac:dyDescent="0.25">
      <c r="A17" s="56"/>
      <c r="B17" s="57"/>
    </row>
    <row r="18" spans="1:2" ht="16.5" thickBot="1" x14ac:dyDescent="0.3">
      <c r="A18" s="58" t="s">
        <v>62</v>
      </c>
      <c r="B18" s="59" t="s">
        <v>63</v>
      </c>
    </row>
    <row r="19" spans="1:2" ht="16.5" thickBot="1" x14ac:dyDescent="0.3">
      <c r="A19" s="63"/>
      <c r="B19" s="60"/>
    </row>
    <row r="20" spans="1:2" ht="16.5" thickBot="1" x14ac:dyDescent="0.3">
      <c r="A20" s="64" t="s">
        <v>64</v>
      </c>
      <c r="B20" s="65" t="s">
        <v>50</v>
      </c>
    </row>
    <row r="21" spans="1:2" ht="15.75" x14ac:dyDescent="0.25">
      <c r="A21" s="66"/>
      <c r="B21" s="57"/>
    </row>
    <row r="22" spans="1:2" ht="15.75" x14ac:dyDescent="0.25">
      <c r="A22" s="56" t="s">
        <v>65</v>
      </c>
      <c r="B22" s="87" t="s">
        <v>66</v>
      </c>
    </row>
    <row r="23" spans="1:2" ht="15.75" x14ac:dyDescent="0.25">
      <c r="A23" s="54" t="s">
        <v>67</v>
      </c>
      <c r="B23" s="88"/>
    </row>
    <row r="24" spans="1:2" ht="15.75" x14ac:dyDescent="0.25">
      <c r="A24" s="56"/>
      <c r="B24" s="57"/>
    </row>
    <row r="25" spans="1:2" ht="15.75" x14ac:dyDescent="0.25">
      <c r="A25" s="56" t="s">
        <v>68</v>
      </c>
      <c r="B25" s="87" t="s">
        <v>69</v>
      </c>
    </row>
    <row r="26" spans="1:2" ht="15.75" x14ac:dyDescent="0.25">
      <c r="A26" s="54" t="s">
        <v>67</v>
      </c>
      <c r="B26" s="88"/>
    </row>
    <row r="27" spans="1:2" ht="15.75" x14ac:dyDescent="0.25">
      <c r="A27" s="56"/>
      <c r="B27" s="57"/>
    </row>
    <row r="28" spans="1:2" ht="15.75" x14ac:dyDescent="0.25">
      <c r="A28" s="54" t="s">
        <v>70</v>
      </c>
      <c r="B28" s="55" t="s">
        <v>71</v>
      </c>
    </row>
    <row r="29" spans="1:2" ht="15.75" x14ac:dyDescent="0.25">
      <c r="A29" s="56"/>
      <c r="B29" s="57"/>
    </row>
    <row r="30" spans="1:2" ht="15.75" x14ac:dyDescent="0.25">
      <c r="A30" s="54" t="s">
        <v>72</v>
      </c>
      <c r="B30" s="55" t="s">
        <v>73</v>
      </c>
    </row>
    <row r="31" spans="1:2" ht="15.75" x14ac:dyDescent="0.25">
      <c r="A31" s="56"/>
      <c r="B31" s="57"/>
    </row>
    <row r="32" spans="1:2" ht="15.75" x14ac:dyDescent="0.25">
      <c r="A32" s="56" t="s">
        <v>74</v>
      </c>
      <c r="B32" s="87" t="s">
        <v>75</v>
      </c>
    </row>
    <row r="33" spans="1:2" ht="15.75" x14ac:dyDescent="0.25">
      <c r="A33" s="54" t="s">
        <v>76</v>
      </c>
      <c r="B33" s="88"/>
    </row>
    <row r="34" spans="1:2" ht="15.75" x14ac:dyDescent="0.25">
      <c r="A34" s="56"/>
      <c r="B34" s="57"/>
    </row>
    <row r="35" spans="1:2" ht="15.75" x14ac:dyDescent="0.25">
      <c r="A35" s="54" t="s">
        <v>77</v>
      </c>
      <c r="B35" s="55" t="s">
        <v>78</v>
      </c>
    </row>
    <row r="36" spans="1:2" ht="15.75" x14ac:dyDescent="0.25">
      <c r="A36" s="56"/>
      <c r="B36" s="57"/>
    </row>
    <row r="37" spans="1:2" ht="16.5" thickBot="1" x14ac:dyDescent="0.3">
      <c r="A37" s="58" t="s">
        <v>79</v>
      </c>
      <c r="B37" s="59" t="s">
        <v>80</v>
      </c>
    </row>
    <row r="38" spans="1:2" ht="13.5" thickBot="1" x14ac:dyDescent="0.25">
      <c r="A38" s="63"/>
      <c r="B38" s="63"/>
    </row>
    <row r="39" spans="1:2" ht="16.5" thickBot="1" x14ac:dyDescent="0.3">
      <c r="A39" s="67" t="s">
        <v>81</v>
      </c>
      <c r="B39" s="68" t="s">
        <v>50</v>
      </c>
    </row>
    <row r="40" spans="1:2" x14ac:dyDescent="0.2">
      <c r="A40" s="66"/>
      <c r="B40" s="69"/>
    </row>
    <row r="41" spans="1:2" ht="15.75" x14ac:dyDescent="0.25">
      <c r="A41" s="54" t="s">
        <v>82</v>
      </c>
      <c r="B41" s="55" t="s">
        <v>83</v>
      </c>
    </row>
    <row r="42" spans="1:2" x14ac:dyDescent="0.2">
      <c r="A42" s="70"/>
      <c r="B42" s="69"/>
    </row>
    <row r="43" spans="1:2" ht="15.75" x14ac:dyDescent="0.25">
      <c r="A43" s="54" t="s">
        <v>84</v>
      </c>
      <c r="B43" s="55" t="s">
        <v>85</v>
      </c>
    </row>
    <row r="44" spans="1:2" x14ac:dyDescent="0.2">
      <c r="A44" s="70"/>
      <c r="B44" s="69"/>
    </row>
    <row r="45" spans="1:2" ht="15.75" x14ac:dyDescent="0.25">
      <c r="A45" s="56" t="s">
        <v>86</v>
      </c>
      <c r="B45" s="87" t="s">
        <v>87</v>
      </c>
    </row>
    <row r="46" spans="1:2" ht="16.5" thickBot="1" x14ac:dyDescent="0.3">
      <c r="A46" s="58" t="s">
        <v>88</v>
      </c>
      <c r="B46" s="89"/>
    </row>
    <row r="47" spans="1:2" ht="13.5" thickBot="1" x14ac:dyDescent="0.25">
      <c r="A47" s="63"/>
      <c r="B47" s="63"/>
    </row>
    <row r="48" spans="1:2" ht="16.5" thickBot="1" x14ac:dyDescent="0.3">
      <c r="A48" s="71" t="s">
        <v>89</v>
      </c>
      <c r="B48" s="72" t="s">
        <v>50</v>
      </c>
    </row>
    <row r="49" spans="1:2" ht="15.75" x14ac:dyDescent="0.25">
      <c r="A49" s="66"/>
      <c r="B49" s="57"/>
    </row>
    <row r="50" spans="1:2" ht="15.75" x14ac:dyDescent="0.25">
      <c r="A50" s="54" t="s">
        <v>90</v>
      </c>
      <c r="B50" s="55" t="s">
        <v>91</v>
      </c>
    </row>
    <row r="51" spans="1:2" ht="15.75" x14ac:dyDescent="0.25">
      <c r="A51" s="70"/>
      <c r="B51" s="57"/>
    </row>
    <row r="52" spans="1:2" ht="15.75" x14ac:dyDescent="0.25">
      <c r="A52" s="54" t="s">
        <v>92</v>
      </c>
      <c r="B52" s="55" t="s">
        <v>93</v>
      </c>
    </row>
    <row r="53" spans="1:2" ht="15.75" x14ac:dyDescent="0.25">
      <c r="A53" s="70"/>
      <c r="B53" s="57"/>
    </row>
    <row r="54" spans="1:2" ht="15.75" x14ac:dyDescent="0.25">
      <c r="A54" s="54" t="s">
        <v>94</v>
      </c>
      <c r="B54" s="55" t="s">
        <v>95</v>
      </c>
    </row>
    <row r="55" spans="1:2" ht="15.75" x14ac:dyDescent="0.25">
      <c r="A55" s="70"/>
      <c r="B55" s="57"/>
    </row>
    <row r="56" spans="1:2" ht="15.75" x14ac:dyDescent="0.25">
      <c r="A56" s="54" t="s">
        <v>94</v>
      </c>
      <c r="B56" s="55" t="s">
        <v>96</v>
      </c>
    </row>
    <row r="57" spans="1:2" ht="15.75" x14ac:dyDescent="0.25">
      <c r="A57" s="70"/>
      <c r="B57" s="57"/>
    </row>
    <row r="58" spans="1:2" ht="15.75" x14ac:dyDescent="0.25">
      <c r="A58" s="54" t="s">
        <v>97</v>
      </c>
      <c r="B58" s="55" t="s">
        <v>98</v>
      </c>
    </row>
    <row r="59" spans="1:2" ht="15.75" x14ac:dyDescent="0.25">
      <c r="A59" s="70"/>
      <c r="B59" s="57"/>
    </row>
    <row r="60" spans="1:2" ht="15.75" x14ac:dyDescent="0.25">
      <c r="A60" s="54" t="s">
        <v>99</v>
      </c>
      <c r="B60" s="55" t="s">
        <v>100</v>
      </c>
    </row>
    <row r="61" spans="1:2" ht="15.75" x14ac:dyDescent="0.25">
      <c r="A61" s="70"/>
      <c r="B61" s="57"/>
    </row>
    <row r="62" spans="1:2" ht="16.5" thickBot="1" x14ac:dyDescent="0.3">
      <c r="A62" s="58" t="s">
        <v>101</v>
      </c>
      <c r="B62" s="59" t="s">
        <v>102</v>
      </c>
    </row>
    <row r="63" spans="1:2" ht="16.5" thickBot="1" x14ac:dyDescent="0.3">
      <c r="A63" s="63"/>
      <c r="B63" s="60"/>
    </row>
    <row r="64" spans="1:2" ht="16.5" thickBot="1" x14ac:dyDescent="0.3">
      <c r="A64" s="73" t="s">
        <v>103</v>
      </c>
      <c r="B64" s="74" t="s">
        <v>50</v>
      </c>
    </row>
    <row r="65" spans="1:2" ht="15.75" x14ac:dyDescent="0.25">
      <c r="A65" s="66"/>
      <c r="B65" s="57"/>
    </row>
    <row r="66" spans="1:2" ht="15.75" x14ac:dyDescent="0.25">
      <c r="A66" s="54" t="s">
        <v>104</v>
      </c>
      <c r="B66" s="55" t="s">
        <v>105</v>
      </c>
    </row>
    <row r="67" spans="1:2" ht="15.75" x14ac:dyDescent="0.25">
      <c r="A67" s="70"/>
      <c r="B67" s="57"/>
    </row>
    <row r="68" spans="1:2" ht="15.75" x14ac:dyDescent="0.25">
      <c r="A68" s="54" t="s">
        <v>106</v>
      </c>
      <c r="B68" s="55" t="s">
        <v>107</v>
      </c>
    </row>
    <row r="69" spans="1:2" ht="15.75" x14ac:dyDescent="0.25">
      <c r="A69" s="70"/>
      <c r="B69" s="57"/>
    </row>
    <row r="70" spans="1:2" ht="15.75" x14ac:dyDescent="0.25">
      <c r="A70" s="54" t="s">
        <v>108</v>
      </c>
      <c r="B70" s="55" t="s">
        <v>109</v>
      </c>
    </row>
    <row r="71" spans="1:2" ht="15.75" x14ac:dyDescent="0.25">
      <c r="A71" s="70"/>
      <c r="B71" s="57"/>
    </row>
    <row r="72" spans="1:2" ht="15.75" x14ac:dyDescent="0.25">
      <c r="A72" s="54" t="s">
        <v>110</v>
      </c>
      <c r="B72" s="55" t="s">
        <v>111</v>
      </c>
    </row>
    <row r="73" spans="1:2" ht="15.75" x14ac:dyDescent="0.25">
      <c r="A73" s="70"/>
      <c r="B73" s="57"/>
    </row>
    <row r="74" spans="1:2" ht="16.5" thickBot="1" x14ac:dyDescent="0.3">
      <c r="A74" s="58" t="s">
        <v>112</v>
      </c>
      <c r="B74" s="59" t="s">
        <v>113</v>
      </c>
    </row>
    <row r="75" spans="1:2" x14ac:dyDescent="0.2">
      <c r="A75" s="63"/>
      <c r="B75" s="63"/>
    </row>
    <row r="76" spans="1:2" ht="15.75" x14ac:dyDescent="0.25">
      <c r="A76" s="63"/>
      <c r="B76" s="60"/>
    </row>
    <row r="77" spans="1:2" ht="15.75" x14ac:dyDescent="0.2">
      <c r="A77" s="75" t="s">
        <v>114</v>
      </c>
      <c r="B77" s="63"/>
    </row>
    <row r="78" spans="1:2" ht="30" x14ac:dyDescent="0.2">
      <c r="A78" s="76" t="s">
        <v>115</v>
      </c>
      <c r="B78" s="63"/>
    </row>
  </sheetData>
  <mergeCells count="5">
    <mergeCell ref="A1:B2"/>
    <mergeCell ref="B22:B23"/>
    <mergeCell ref="B25:B26"/>
    <mergeCell ref="B32:B33"/>
    <mergeCell ref="B45:B46"/>
  </mergeCells>
  <pageMargins left="0.7" right="0.7" top="0.78740157499999996" bottom="0.78740157499999996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Normkostentarife ab 01.03.2025</vt:lpstr>
      <vt:lpstr>Legende Tarifcodes</vt:lpstr>
      <vt:lpstr>'Normkostentarife ab 01.03.2025'!Druckbereich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MUGLACH Natascha</dc:creator>
  <cp:lastModifiedBy>MUGLACH Natascha</cp:lastModifiedBy>
  <cp:lastPrinted>2025-03-25T08:02:25Z</cp:lastPrinted>
  <dcterms:created xsi:type="dcterms:W3CDTF">2025-03-24T10:38:03Z</dcterms:created>
  <dcterms:modified xsi:type="dcterms:W3CDTF">2025-06-24T06:50:11Z</dcterms:modified>
</cp:coreProperties>
</file>